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mycuhk-my.sharepoint.com/personal/1155109636_link_cuhk_edu_hk/Documents/Project/JUPAS Cal/Excel/"/>
    </mc:Choice>
  </mc:AlternateContent>
  <xr:revisionPtr revIDLastSave="6" documentId="8_{B9FA9A01-2F67-4695-9E32-1DDFAE76FD95}" xr6:coauthVersionLast="45" xr6:coauthVersionMax="45" xr10:uidLastSave="{C221D02C-5482-4A9F-AA34-F495870E6EBE}"/>
  <bookViews>
    <workbookView xWindow="-120" yWindow="-120" windowWidth="38640" windowHeight="21240" tabRatio="577" xr2:uid="{3AC42795-B9DB-4E8C-B52A-058FB173D1BD}"/>
  </bookViews>
  <sheets>
    <sheet name="主頁" sheetId="1" r:id="rId1"/>
    <sheet name="A123" sheetId="17" state="hidden" r:id="rId2"/>
    <sheet name="入學要求" sheetId="6" state="hidden" r:id="rId3"/>
    <sheet name="計分版" sheetId="2" state="hidden" r:id="rId4"/>
    <sheet name="CityU" sheetId="12" r:id="rId5"/>
    <sheet name="HKBU" sheetId="16" r:id="rId6"/>
    <sheet name="PolyU" sheetId="9" r:id="rId7"/>
    <sheet name="CUHK" sheetId="5" r:id="rId8"/>
    <sheet name="UST" sheetId="10" r:id="rId9"/>
    <sheet name="HKU" sheetId="8" r:id="rId10"/>
    <sheet name="LingU" sheetId="15" r:id="rId11"/>
    <sheet name="EdUHK" sheetId="14" r:id="rId12"/>
    <sheet name="OUHK" sheetId="19" r:id="rId13"/>
    <sheet name="SSSDP" sheetId="20" r:id="rId14"/>
    <sheet name="選單" sheetId="3" state="hidden" r:id="rId15"/>
  </sheets>
  <definedNames>
    <definedName name="丙類科目等級">選單!$G$2:$G$8</definedName>
    <definedName name="丙類選修科">選單!$F$2:$F$8</definedName>
    <definedName name="差">選單!$E$7:$E$9</definedName>
    <definedName name="差距ULM">選單!$E$7:$E$9</definedName>
    <definedName name="差距UML">選單!$E$7:$E$9</definedName>
    <definedName name="第一選修科">選單!$B$2:$B$25</definedName>
    <definedName name="第二選修科">選單!$C$2:$C$25</definedName>
    <definedName name="第三選修科">選單!$D$2:$D$25</definedName>
    <definedName name="第四選修科">選單!$E$2:$E$6</definedName>
    <definedName name="等級">選單!$A$2:$A$10</definedName>
    <definedName name="數學延伸部份">選單!#REF!</definedName>
    <definedName name="選修科">選單!$B$2:$B$25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60" i="2" l="1"/>
  <c r="L260" i="2"/>
  <c r="M260" i="2"/>
  <c r="J260" i="2"/>
  <c r="H22" i="5" l="1"/>
  <c r="H32" i="5" l="1"/>
  <c r="I407" i="2"/>
  <c r="I406" i="2"/>
  <c r="I405" i="2"/>
  <c r="I404" i="2"/>
  <c r="I403" i="2"/>
  <c r="I402" i="2"/>
  <c r="I401" i="2"/>
  <c r="I400" i="2"/>
  <c r="I399" i="2"/>
  <c r="I398" i="2"/>
  <c r="I380" i="2"/>
  <c r="I379" i="2"/>
  <c r="I378" i="2"/>
  <c r="I377" i="2"/>
  <c r="I376" i="2"/>
  <c r="I375" i="2"/>
  <c r="I374" i="2"/>
  <c r="I373" i="2"/>
  <c r="E370" i="2"/>
  <c r="F370" i="2"/>
  <c r="G370" i="2"/>
  <c r="H370" i="2"/>
  <c r="I370" i="2"/>
  <c r="D370" i="2"/>
  <c r="K369" i="17"/>
  <c r="E334" i="2"/>
  <c r="F334" i="2"/>
  <c r="G334" i="2"/>
  <c r="H334" i="2"/>
  <c r="I334" i="2"/>
  <c r="D334" i="2"/>
  <c r="K334" i="17"/>
  <c r="F40" i="5"/>
  <c r="G40" i="5"/>
  <c r="G41" i="5"/>
  <c r="F7" i="9"/>
  <c r="A18" i="17"/>
  <c r="E18" i="17" s="1"/>
  <c r="J19" i="1" s="1"/>
  <c r="A17" i="17"/>
  <c r="B17" i="17" s="1"/>
  <c r="G17" i="1" s="1"/>
  <c r="A16" i="17"/>
  <c r="D16" i="17" s="1"/>
  <c r="I15" i="1" s="1"/>
  <c r="P5" i="17"/>
  <c r="F311" i="17"/>
  <c r="G311" i="17"/>
  <c r="F312" i="17"/>
  <c r="G312" i="17"/>
  <c r="F313" i="17"/>
  <c r="G313" i="17"/>
  <c r="F314" i="17"/>
  <c r="G314" i="17"/>
  <c r="F315" i="17"/>
  <c r="G315" i="17"/>
  <c r="F316" i="17"/>
  <c r="G316" i="17"/>
  <c r="F317" i="17"/>
  <c r="G317" i="17"/>
  <c r="F318" i="17"/>
  <c r="G318" i="17"/>
  <c r="F320" i="17"/>
  <c r="G320" i="17"/>
  <c r="F321" i="17"/>
  <c r="G321" i="17"/>
  <c r="F322" i="17"/>
  <c r="G322" i="17"/>
  <c r="F323" i="17"/>
  <c r="G323" i="17"/>
  <c r="F324" i="17"/>
  <c r="G324" i="17"/>
  <c r="F325" i="17"/>
  <c r="G325" i="17"/>
  <c r="F326" i="17"/>
  <c r="G326" i="17"/>
  <c r="F327" i="17"/>
  <c r="G327" i="17"/>
  <c r="F329" i="17"/>
  <c r="G329" i="17"/>
  <c r="F330" i="17"/>
  <c r="G330" i="17"/>
  <c r="F331" i="17"/>
  <c r="G331" i="17"/>
  <c r="F332" i="17"/>
  <c r="G332" i="17"/>
  <c r="F304" i="17"/>
  <c r="G304" i="17"/>
  <c r="K218" i="17"/>
  <c r="K219" i="17"/>
  <c r="K221" i="17"/>
  <c r="K222" i="17"/>
  <c r="K224" i="17"/>
  <c r="K225" i="17"/>
  <c r="K244" i="17"/>
  <c r="K245" i="17"/>
  <c r="K246" i="17"/>
  <c r="K256" i="17"/>
  <c r="K257" i="17"/>
  <c r="K258" i="17"/>
  <c r="K261" i="17"/>
  <c r="K262" i="17"/>
  <c r="F129" i="17"/>
  <c r="G129" i="17"/>
  <c r="F130" i="17"/>
  <c r="G130" i="17"/>
  <c r="F131" i="17"/>
  <c r="G131" i="17"/>
  <c r="F132" i="17"/>
  <c r="G132" i="17"/>
  <c r="F133" i="17"/>
  <c r="G133" i="17"/>
  <c r="F134" i="17"/>
  <c r="G134" i="17"/>
  <c r="F135" i="17"/>
  <c r="G135" i="17"/>
  <c r="F136" i="17"/>
  <c r="G136" i="17"/>
  <c r="F137" i="17"/>
  <c r="G137" i="17"/>
  <c r="F138" i="17"/>
  <c r="G138" i="17"/>
  <c r="F139" i="17"/>
  <c r="G139" i="17"/>
  <c r="F140" i="17"/>
  <c r="G140" i="17"/>
  <c r="F141" i="17"/>
  <c r="G141" i="17"/>
  <c r="F142" i="17"/>
  <c r="G142" i="17"/>
  <c r="F143" i="17"/>
  <c r="G143" i="17"/>
  <c r="F144" i="17"/>
  <c r="G144" i="17"/>
  <c r="F145" i="17"/>
  <c r="G145" i="17"/>
  <c r="F146" i="17"/>
  <c r="G146" i="17"/>
  <c r="F147" i="17"/>
  <c r="G147" i="17"/>
  <c r="F148" i="17"/>
  <c r="G148" i="17"/>
  <c r="F149" i="17"/>
  <c r="G149" i="17"/>
  <c r="F150" i="17"/>
  <c r="G150" i="17"/>
  <c r="F151" i="17"/>
  <c r="G151" i="17"/>
  <c r="F152" i="17"/>
  <c r="G152" i="17"/>
  <c r="F153" i="17"/>
  <c r="G153" i="17"/>
  <c r="F154" i="17"/>
  <c r="G154" i="17"/>
  <c r="F155" i="17"/>
  <c r="G155" i="17"/>
  <c r="F156" i="17"/>
  <c r="G156" i="17"/>
  <c r="F157" i="17"/>
  <c r="G157" i="17"/>
  <c r="F158" i="17"/>
  <c r="G158" i="17"/>
  <c r="F159" i="17"/>
  <c r="G159" i="17"/>
  <c r="F160" i="17"/>
  <c r="G160" i="17"/>
  <c r="F161" i="17"/>
  <c r="G161" i="17"/>
  <c r="F162" i="17"/>
  <c r="G162" i="17"/>
  <c r="F163" i="17"/>
  <c r="G163" i="17"/>
  <c r="F164" i="17"/>
  <c r="G164" i="17"/>
  <c r="F165" i="17"/>
  <c r="G165" i="17"/>
  <c r="F166" i="17"/>
  <c r="G166" i="17"/>
  <c r="F167" i="17"/>
  <c r="G167" i="17"/>
  <c r="F168" i="17"/>
  <c r="G168" i="17"/>
  <c r="F169" i="17"/>
  <c r="G169" i="17"/>
  <c r="F170" i="17"/>
  <c r="G170" i="17"/>
  <c r="F171" i="17"/>
  <c r="G171" i="17"/>
  <c r="F172" i="17"/>
  <c r="G172" i="17"/>
  <c r="F173" i="17"/>
  <c r="G173" i="17"/>
  <c r="E65" i="17"/>
  <c r="F65" i="17"/>
  <c r="G65" i="17"/>
  <c r="E66" i="17"/>
  <c r="F66" i="17"/>
  <c r="G66" i="17"/>
  <c r="E67" i="17"/>
  <c r="F67" i="17"/>
  <c r="G67" i="17"/>
  <c r="E68" i="17"/>
  <c r="F68" i="17"/>
  <c r="G68" i="17"/>
  <c r="E69" i="17"/>
  <c r="F69" i="17"/>
  <c r="G69" i="17"/>
  <c r="E70" i="17"/>
  <c r="F70" i="17"/>
  <c r="G70" i="17"/>
  <c r="E71" i="17"/>
  <c r="F71" i="17"/>
  <c r="G71" i="17"/>
  <c r="E72" i="17"/>
  <c r="F72" i="17"/>
  <c r="G72" i="17"/>
  <c r="E73" i="17"/>
  <c r="F73" i="17"/>
  <c r="G73" i="17"/>
  <c r="E74" i="17"/>
  <c r="F74" i="17"/>
  <c r="G74" i="17"/>
  <c r="E75" i="17"/>
  <c r="F75" i="17"/>
  <c r="G75" i="17"/>
  <c r="E76" i="17"/>
  <c r="F76" i="17"/>
  <c r="G76" i="17"/>
  <c r="E78" i="17"/>
  <c r="F78" i="17"/>
  <c r="G78" i="17"/>
  <c r="E79" i="17"/>
  <c r="F79" i="17"/>
  <c r="G79" i="17"/>
  <c r="E80" i="17"/>
  <c r="F80" i="17"/>
  <c r="G80" i="17"/>
  <c r="E81" i="17"/>
  <c r="F81" i="17"/>
  <c r="G81" i="17"/>
  <c r="E82" i="17"/>
  <c r="F82" i="17"/>
  <c r="G82" i="17"/>
  <c r="E83" i="17"/>
  <c r="F83" i="17"/>
  <c r="G83" i="17"/>
  <c r="E84" i="17"/>
  <c r="F84" i="17"/>
  <c r="G84" i="17"/>
  <c r="E85" i="17"/>
  <c r="F85" i="17"/>
  <c r="G85" i="17"/>
  <c r="E86" i="17"/>
  <c r="F86" i="17"/>
  <c r="G86" i="17"/>
  <c r="E87" i="17"/>
  <c r="F87" i="17"/>
  <c r="G87" i="17"/>
  <c r="E88" i="17"/>
  <c r="F88" i="17"/>
  <c r="G88" i="17"/>
  <c r="E90" i="17"/>
  <c r="F90" i="17"/>
  <c r="G90" i="17"/>
  <c r="E91" i="17"/>
  <c r="F91" i="17"/>
  <c r="G91" i="17"/>
  <c r="E92" i="17"/>
  <c r="F92" i="17"/>
  <c r="G92" i="17"/>
  <c r="E93" i="17"/>
  <c r="F93" i="17"/>
  <c r="G93" i="17"/>
  <c r="E94" i="17"/>
  <c r="F94" i="17"/>
  <c r="G94" i="17"/>
  <c r="E95" i="17"/>
  <c r="F95" i="17"/>
  <c r="G95" i="17"/>
  <c r="E96" i="17"/>
  <c r="F96" i="17"/>
  <c r="G96" i="17"/>
  <c r="E97" i="17"/>
  <c r="F97" i="17"/>
  <c r="G97" i="17"/>
  <c r="E98" i="17"/>
  <c r="F98" i="17"/>
  <c r="G98" i="17"/>
  <c r="E99" i="17"/>
  <c r="F99" i="17"/>
  <c r="G99" i="17"/>
  <c r="E100" i="17"/>
  <c r="F100" i="17"/>
  <c r="G100" i="17"/>
  <c r="E101" i="17"/>
  <c r="F101" i="17"/>
  <c r="G101" i="17"/>
  <c r="E102" i="17"/>
  <c r="F102" i="17"/>
  <c r="G102" i="17"/>
  <c r="E103" i="17"/>
  <c r="F103" i="17"/>
  <c r="G103" i="17"/>
  <c r="E104" i="17"/>
  <c r="F104" i="17"/>
  <c r="G104" i="17"/>
  <c r="E105" i="17"/>
  <c r="F105" i="17"/>
  <c r="G105" i="17"/>
  <c r="E106" i="17"/>
  <c r="F106" i="17"/>
  <c r="G106" i="17"/>
  <c r="E107" i="17"/>
  <c r="F107" i="17"/>
  <c r="G107" i="17"/>
  <c r="E108" i="17"/>
  <c r="F108" i="17"/>
  <c r="G108" i="17"/>
  <c r="E109" i="17"/>
  <c r="F109" i="17"/>
  <c r="G109" i="17"/>
  <c r="E110" i="17"/>
  <c r="F110" i="17"/>
  <c r="G110" i="17"/>
  <c r="E111" i="17"/>
  <c r="F111" i="17"/>
  <c r="G111" i="17"/>
  <c r="E112" i="17"/>
  <c r="F112" i="17"/>
  <c r="G112" i="17"/>
  <c r="E113" i="17"/>
  <c r="F113" i="17"/>
  <c r="G113" i="17"/>
  <c r="E114" i="17"/>
  <c r="F114" i="17"/>
  <c r="G114" i="17"/>
  <c r="E115" i="17"/>
  <c r="F115" i="17"/>
  <c r="G115" i="17"/>
  <c r="E116" i="17"/>
  <c r="F116" i="17"/>
  <c r="G116" i="17"/>
  <c r="E117" i="17"/>
  <c r="F117" i="17"/>
  <c r="G117" i="17"/>
  <c r="E118" i="17"/>
  <c r="F118" i="17"/>
  <c r="G118" i="17"/>
  <c r="E119" i="17"/>
  <c r="F119" i="17"/>
  <c r="G119" i="17"/>
  <c r="E120" i="17"/>
  <c r="F120" i="17"/>
  <c r="G120" i="17"/>
  <c r="E121" i="17"/>
  <c r="F121" i="17"/>
  <c r="G121" i="17"/>
  <c r="E122" i="17"/>
  <c r="F122" i="17"/>
  <c r="G122" i="17"/>
  <c r="E123" i="17"/>
  <c r="F123" i="17"/>
  <c r="G123" i="17"/>
  <c r="E124" i="17"/>
  <c r="F124" i="17"/>
  <c r="G124" i="17"/>
  <c r="E125" i="17"/>
  <c r="F125" i="17"/>
  <c r="G125" i="17"/>
  <c r="E126" i="17"/>
  <c r="F126" i="17"/>
  <c r="G126" i="17"/>
  <c r="O5" i="17"/>
  <c r="P15" i="17"/>
  <c r="P4" i="17"/>
  <c r="P11" i="17"/>
  <c r="P10" i="17"/>
  <c r="P9" i="17"/>
  <c r="P8" i="17"/>
  <c r="P7" i="17"/>
  <c r="P6" i="17"/>
  <c r="O4" i="17"/>
  <c r="O11" i="17"/>
  <c r="O10" i="17"/>
  <c r="O9" i="17"/>
  <c r="O7" i="17"/>
  <c r="O8" i="17"/>
  <c r="O6" i="17"/>
  <c r="K64" i="17"/>
  <c r="K128" i="17"/>
  <c r="O16" i="17"/>
  <c r="N16" i="17"/>
  <c r="O15" i="17"/>
  <c r="N15" i="17"/>
  <c r="H29" i="16"/>
  <c r="G29" i="16"/>
  <c r="H28" i="16"/>
  <c r="G28" i="16"/>
  <c r="H25" i="16"/>
  <c r="G25" i="16"/>
  <c r="G23" i="16"/>
  <c r="H21" i="16"/>
  <c r="H20" i="16"/>
  <c r="G20" i="16"/>
  <c r="H19" i="16"/>
  <c r="G19" i="16"/>
  <c r="H18" i="16"/>
  <c r="G18" i="16"/>
  <c r="H16" i="16"/>
  <c r="G16" i="16"/>
  <c r="H15" i="16"/>
  <c r="G15" i="16"/>
  <c r="H14" i="16"/>
  <c r="G14" i="16"/>
  <c r="H11" i="16"/>
  <c r="H10" i="16"/>
  <c r="G10" i="16"/>
  <c r="G2" i="16"/>
  <c r="H30" i="16"/>
  <c r="G30" i="16"/>
  <c r="H27" i="16"/>
  <c r="G27" i="16"/>
  <c r="H24" i="16"/>
  <c r="G24" i="16"/>
  <c r="H23" i="16"/>
  <c r="H22" i="16"/>
  <c r="G22" i="16"/>
  <c r="G21" i="16"/>
  <c r="H13" i="16"/>
  <c r="G13" i="16"/>
  <c r="H12" i="16"/>
  <c r="G12" i="16"/>
  <c r="G11" i="16"/>
  <c r="H9" i="16"/>
  <c r="G9" i="16"/>
  <c r="H2" i="16"/>
  <c r="E303" i="2"/>
  <c r="F303" i="2"/>
  <c r="G303" i="2"/>
  <c r="H303" i="2"/>
  <c r="I303" i="2"/>
  <c r="D303" i="2"/>
  <c r="K303" i="17"/>
  <c r="D289" i="2"/>
  <c r="K289" i="17"/>
  <c r="E289" i="2"/>
  <c r="F289" i="2"/>
  <c r="G289" i="2"/>
  <c r="H289" i="2"/>
  <c r="I289" i="2"/>
  <c r="G39" i="9"/>
  <c r="F39" i="9"/>
  <c r="G20" i="9"/>
  <c r="X5" i="2"/>
  <c r="L2" i="2" s="1"/>
  <c r="W5" i="2"/>
  <c r="W6" i="2" s="1"/>
  <c r="K2" i="2" s="1"/>
  <c r="V5" i="2"/>
  <c r="V6" i="2" s="1"/>
  <c r="J2" i="2" s="1"/>
  <c r="U5" i="2"/>
  <c r="U6" i="2" s="1"/>
  <c r="I2" i="2" s="1"/>
  <c r="T5" i="2"/>
  <c r="T6" i="2" s="1"/>
  <c r="H2" i="2" s="1"/>
  <c r="S5" i="2"/>
  <c r="S6" i="2" s="1"/>
  <c r="G2" i="2" s="1"/>
  <c r="R5" i="2"/>
  <c r="R6" i="2" s="1"/>
  <c r="F2" i="2" s="1"/>
  <c r="Q5" i="2"/>
  <c r="Q6" i="2" s="1"/>
  <c r="E2" i="2" s="1"/>
  <c r="P5" i="2"/>
  <c r="P6" i="2" s="1"/>
  <c r="D2" i="2" s="1"/>
  <c r="O5" i="2"/>
  <c r="O6" i="2" s="1"/>
  <c r="C2" i="2" s="1"/>
  <c r="H8" i="12"/>
  <c r="H9" i="12"/>
  <c r="H11" i="12"/>
  <c r="H12" i="12"/>
  <c r="H14" i="12"/>
  <c r="H15" i="12"/>
  <c r="H34" i="12"/>
  <c r="H35" i="12"/>
  <c r="H36" i="12"/>
  <c r="H46" i="12"/>
  <c r="H47" i="12"/>
  <c r="H48" i="12"/>
  <c r="H51" i="12"/>
  <c r="H52" i="12"/>
  <c r="I264" i="2"/>
  <c r="H264" i="2"/>
  <c r="G264" i="2"/>
  <c r="F264" i="2"/>
  <c r="E264" i="2"/>
  <c r="D264" i="2"/>
  <c r="K264" i="17"/>
  <c r="H63" i="5"/>
  <c r="G63" i="5"/>
  <c r="F63" i="5"/>
  <c r="H62" i="5"/>
  <c r="G62" i="5"/>
  <c r="F62" i="5"/>
  <c r="H61" i="5"/>
  <c r="G61" i="5"/>
  <c r="F61" i="5"/>
  <c r="H60" i="5"/>
  <c r="G60" i="5"/>
  <c r="F60" i="5"/>
  <c r="H59" i="5"/>
  <c r="G59" i="5"/>
  <c r="F59" i="5"/>
  <c r="H58" i="5"/>
  <c r="G58" i="5"/>
  <c r="F58" i="5"/>
  <c r="H57" i="5"/>
  <c r="G57" i="5"/>
  <c r="F57" i="5"/>
  <c r="H56" i="5"/>
  <c r="G56" i="5"/>
  <c r="F56" i="5"/>
  <c r="H55" i="5"/>
  <c r="G55" i="5"/>
  <c r="F55" i="5"/>
  <c r="H54" i="5"/>
  <c r="G54" i="5"/>
  <c r="F54" i="5"/>
  <c r="H53" i="5"/>
  <c r="G53" i="5"/>
  <c r="F53" i="5"/>
  <c r="H52" i="5"/>
  <c r="G52" i="5"/>
  <c r="F52" i="5"/>
  <c r="H51" i="5"/>
  <c r="G51" i="5"/>
  <c r="F51" i="5"/>
  <c r="H50" i="5"/>
  <c r="G50" i="5"/>
  <c r="F50" i="5"/>
  <c r="H49" i="5"/>
  <c r="G49" i="5"/>
  <c r="F49" i="5"/>
  <c r="H48" i="5"/>
  <c r="G48" i="5"/>
  <c r="F48" i="5"/>
  <c r="H47" i="5"/>
  <c r="G47" i="5"/>
  <c r="F47" i="5"/>
  <c r="H46" i="5"/>
  <c r="G46" i="5"/>
  <c r="F46" i="5"/>
  <c r="H45" i="5"/>
  <c r="G45" i="5"/>
  <c r="F45" i="5"/>
  <c r="H44" i="5"/>
  <c r="G44" i="5"/>
  <c r="F44" i="5"/>
  <c r="H43" i="5"/>
  <c r="G43" i="5"/>
  <c r="F43" i="5"/>
  <c r="H42" i="5"/>
  <c r="G42" i="5"/>
  <c r="F42" i="5"/>
  <c r="H41" i="5"/>
  <c r="F41" i="5"/>
  <c r="H40" i="5"/>
  <c r="H39" i="5"/>
  <c r="G39" i="5"/>
  <c r="F39" i="5"/>
  <c r="H38" i="5"/>
  <c r="G38" i="5"/>
  <c r="F38" i="5"/>
  <c r="H37" i="5"/>
  <c r="G37" i="5"/>
  <c r="F37" i="5"/>
  <c r="H36" i="5"/>
  <c r="G36" i="5"/>
  <c r="F36" i="5"/>
  <c r="H35" i="5"/>
  <c r="G35" i="5"/>
  <c r="F35" i="5"/>
  <c r="H34" i="5"/>
  <c r="G34" i="5"/>
  <c r="F34" i="5"/>
  <c r="H33" i="5"/>
  <c r="G33" i="5"/>
  <c r="F33" i="5"/>
  <c r="G32" i="5"/>
  <c r="F32" i="5"/>
  <c r="H31" i="5"/>
  <c r="G31" i="5"/>
  <c r="F31" i="5"/>
  <c r="H30" i="5"/>
  <c r="G30" i="5"/>
  <c r="F30" i="5"/>
  <c r="H29" i="5"/>
  <c r="G29" i="5"/>
  <c r="F29" i="5"/>
  <c r="H28" i="5"/>
  <c r="G28" i="5"/>
  <c r="F28" i="5"/>
  <c r="H27" i="5"/>
  <c r="G27" i="5"/>
  <c r="F27" i="5"/>
  <c r="H25" i="5"/>
  <c r="G25" i="5"/>
  <c r="F25" i="5"/>
  <c r="H24" i="5"/>
  <c r="G24" i="5"/>
  <c r="F24" i="5"/>
  <c r="H23" i="5"/>
  <c r="G23" i="5"/>
  <c r="F23" i="5"/>
  <c r="G22" i="5"/>
  <c r="F22" i="5"/>
  <c r="H21" i="5"/>
  <c r="G21" i="5"/>
  <c r="F21" i="5"/>
  <c r="H20" i="5"/>
  <c r="G20" i="5"/>
  <c r="F20" i="5"/>
  <c r="H19" i="5"/>
  <c r="G19" i="5"/>
  <c r="F19" i="5"/>
  <c r="H18" i="5"/>
  <c r="G18" i="5"/>
  <c r="F18" i="5"/>
  <c r="H17" i="5"/>
  <c r="G17" i="5"/>
  <c r="F17" i="5"/>
  <c r="H16" i="5"/>
  <c r="G16" i="5"/>
  <c r="F16" i="5"/>
  <c r="H15" i="5"/>
  <c r="G15" i="5"/>
  <c r="F15" i="5"/>
  <c r="H13" i="5"/>
  <c r="G13" i="5"/>
  <c r="F13" i="5"/>
  <c r="H12" i="5"/>
  <c r="G12" i="5"/>
  <c r="F12" i="5"/>
  <c r="H11" i="5"/>
  <c r="G11" i="5"/>
  <c r="F11" i="5"/>
  <c r="H10" i="5"/>
  <c r="G10" i="5"/>
  <c r="F10" i="5"/>
  <c r="H9" i="5"/>
  <c r="G9" i="5"/>
  <c r="F9" i="5"/>
  <c r="H8" i="5"/>
  <c r="G8" i="5"/>
  <c r="F8" i="5"/>
  <c r="H7" i="5"/>
  <c r="G7" i="5"/>
  <c r="F7" i="5"/>
  <c r="H6" i="5"/>
  <c r="G6" i="5"/>
  <c r="F6" i="5"/>
  <c r="H5" i="5"/>
  <c r="G5" i="5"/>
  <c r="F5" i="5"/>
  <c r="H4" i="5"/>
  <c r="G4" i="5"/>
  <c r="F4" i="5"/>
  <c r="H3" i="5"/>
  <c r="G3" i="5"/>
  <c r="F3" i="5"/>
  <c r="H2" i="5"/>
  <c r="G2" i="5"/>
  <c r="F2" i="5"/>
  <c r="D211" i="2"/>
  <c r="K211" i="17"/>
  <c r="E211" i="2"/>
  <c r="F211" i="2"/>
  <c r="G211" i="2"/>
  <c r="H211" i="2"/>
  <c r="I211" i="2"/>
  <c r="Q164" i="2"/>
  <c r="D186" i="2"/>
  <c r="K186" i="17"/>
  <c r="F186" i="2"/>
  <c r="G186" i="2"/>
  <c r="H186" i="2"/>
  <c r="I186" i="2"/>
  <c r="E186" i="2"/>
  <c r="E128" i="2"/>
  <c r="F128" i="2"/>
  <c r="G128" i="2"/>
  <c r="H128" i="2"/>
  <c r="I128" i="2"/>
  <c r="G46" i="9"/>
  <c r="F46" i="9"/>
  <c r="G45" i="9"/>
  <c r="F45" i="9"/>
  <c r="G44" i="9"/>
  <c r="F44" i="9"/>
  <c r="G43" i="9"/>
  <c r="F43" i="9"/>
  <c r="G42" i="9"/>
  <c r="F42" i="9"/>
  <c r="G41" i="9"/>
  <c r="F41" i="9"/>
  <c r="G40" i="9"/>
  <c r="F40" i="9"/>
  <c r="G38" i="9"/>
  <c r="F38" i="9"/>
  <c r="G37" i="9"/>
  <c r="F37" i="9"/>
  <c r="G36" i="9"/>
  <c r="F36" i="9"/>
  <c r="G35" i="9"/>
  <c r="F35" i="9"/>
  <c r="G34" i="9"/>
  <c r="F34" i="9"/>
  <c r="G33" i="9"/>
  <c r="F33" i="9"/>
  <c r="G32" i="9"/>
  <c r="F32" i="9"/>
  <c r="G31" i="9"/>
  <c r="F31" i="9"/>
  <c r="G30" i="9"/>
  <c r="F30" i="9"/>
  <c r="G29" i="9"/>
  <c r="F29" i="9"/>
  <c r="G28" i="9"/>
  <c r="F28" i="9"/>
  <c r="G27" i="9"/>
  <c r="F27" i="9"/>
  <c r="G26" i="9"/>
  <c r="F26" i="9"/>
  <c r="G25" i="9"/>
  <c r="F25" i="9"/>
  <c r="G24" i="9"/>
  <c r="F24" i="9"/>
  <c r="G23" i="9"/>
  <c r="F23" i="9"/>
  <c r="G22" i="9"/>
  <c r="F22" i="9"/>
  <c r="G21" i="9"/>
  <c r="F21" i="9"/>
  <c r="F20" i="9"/>
  <c r="G19" i="9"/>
  <c r="F19" i="9"/>
  <c r="G18" i="9"/>
  <c r="F18" i="9"/>
  <c r="G17" i="9"/>
  <c r="F17" i="9"/>
  <c r="G16" i="9"/>
  <c r="F16" i="9"/>
  <c r="G15" i="9"/>
  <c r="F15" i="9"/>
  <c r="G14" i="9"/>
  <c r="F14" i="9"/>
  <c r="G13" i="9"/>
  <c r="F13" i="9"/>
  <c r="G12" i="9"/>
  <c r="F12" i="9"/>
  <c r="G11" i="9"/>
  <c r="F11" i="9"/>
  <c r="G10" i="9"/>
  <c r="F10" i="9"/>
  <c r="G9" i="9"/>
  <c r="F9" i="9"/>
  <c r="G8" i="9"/>
  <c r="F8" i="9"/>
  <c r="G7" i="9"/>
  <c r="G6" i="9"/>
  <c r="F6" i="9"/>
  <c r="G5" i="9"/>
  <c r="F5" i="9"/>
  <c r="G4" i="9"/>
  <c r="F4" i="9"/>
  <c r="G3" i="9"/>
  <c r="F3" i="9"/>
  <c r="G2" i="9"/>
  <c r="F2" i="9"/>
  <c r="O113" i="2"/>
  <c r="O110" i="2"/>
  <c r="O117" i="2"/>
  <c r="P107" i="2"/>
  <c r="Q107" i="2"/>
  <c r="R107" i="2"/>
  <c r="S107" i="2"/>
  <c r="O107" i="2"/>
  <c r="O84" i="2"/>
  <c r="L1" i="2"/>
  <c r="N211" i="2" s="1"/>
  <c r="K1" i="2"/>
  <c r="S32" i="2" s="1"/>
  <c r="J1" i="2"/>
  <c r="I1" i="2"/>
  <c r="H1" i="2"/>
  <c r="N103" i="2"/>
  <c r="N102" i="2"/>
  <c r="P91" i="6"/>
  <c r="J303" i="2" l="1"/>
  <c r="R117" i="2"/>
  <c r="K370" i="2"/>
  <c r="R68" i="2"/>
  <c r="M128" i="2"/>
  <c r="N64" i="2"/>
  <c r="S110" i="2"/>
  <c r="U181" i="2"/>
  <c r="N303" i="2"/>
  <c r="N264" i="2"/>
  <c r="U172" i="2"/>
  <c r="L6" i="2"/>
  <c r="N204" i="2" s="1"/>
  <c r="L7" i="2"/>
  <c r="L5" i="2"/>
  <c r="N140" i="2" s="1"/>
  <c r="L9" i="2"/>
  <c r="N293" i="2" s="1"/>
  <c r="L8" i="2"/>
  <c r="L13" i="2"/>
  <c r="L3" i="2"/>
  <c r="N31" i="2" s="1"/>
  <c r="L4" i="2"/>
  <c r="N89" i="2" s="1"/>
  <c r="L10" i="2"/>
  <c r="N11" i="2"/>
  <c r="N375" i="2" s="1"/>
  <c r="M11" i="2"/>
  <c r="N405" i="2" s="1"/>
  <c r="N289" i="2"/>
  <c r="U176" i="2"/>
  <c r="S37" i="2"/>
  <c r="R69" i="2"/>
  <c r="S33" i="2"/>
  <c r="M211" i="2"/>
  <c r="S117" i="2"/>
  <c r="L264" i="2"/>
  <c r="U175" i="2"/>
  <c r="N370" i="2"/>
  <c r="N186" i="2"/>
  <c r="N20" i="2"/>
  <c r="M303" i="2"/>
  <c r="K3" i="2"/>
  <c r="M40" i="2" s="1"/>
  <c r="K9" i="2"/>
  <c r="K4" i="2"/>
  <c r="M105" i="2" s="1"/>
  <c r="K5" i="2"/>
  <c r="M150" i="2" s="1"/>
  <c r="K13" i="2"/>
  <c r="K6" i="2"/>
  <c r="M206" i="2" s="1"/>
  <c r="K8" i="2"/>
  <c r="K11" i="2"/>
  <c r="M390" i="2" s="1"/>
  <c r="K10" i="2"/>
  <c r="K7" i="2"/>
  <c r="M20" i="2"/>
  <c r="U179" i="2"/>
  <c r="M264" i="2"/>
  <c r="S35" i="2"/>
  <c r="U170" i="2"/>
  <c r="X107" i="2"/>
  <c r="U167" i="2"/>
  <c r="S31" i="2"/>
  <c r="M186" i="2"/>
  <c r="U177" i="2"/>
  <c r="U166" i="2"/>
  <c r="T166" i="2"/>
  <c r="S113" i="2"/>
  <c r="N128" i="2"/>
  <c r="U164" i="2"/>
  <c r="N334" i="2"/>
  <c r="T175" i="2"/>
  <c r="L211" i="2"/>
  <c r="S111" i="2"/>
  <c r="S114" i="2"/>
  <c r="Q74" i="2"/>
  <c r="U173" i="2"/>
  <c r="U165" i="2"/>
  <c r="M334" i="2"/>
  <c r="M289" i="2"/>
  <c r="U169" i="2"/>
  <c r="U178" i="2"/>
  <c r="S85" i="2"/>
  <c r="U183" i="2"/>
  <c r="R70" i="2"/>
  <c r="U168" i="2"/>
  <c r="M64" i="2"/>
  <c r="U182" i="2"/>
  <c r="L370" i="2"/>
  <c r="S84" i="2"/>
  <c r="U174" i="2"/>
  <c r="M370" i="2"/>
  <c r="W107" i="2"/>
  <c r="S118" i="2"/>
  <c r="S34" i="2"/>
  <c r="U171" i="2"/>
  <c r="U180" i="2"/>
  <c r="S36" i="2"/>
  <c r="R74" i="2"/>
  <c r="L303" i="2"/>
  <c r="W108" i="2"/>
  <c r="S177" i="2"/>
  <c r="K20" i="2"/>
  <c r="K211" i="2"/>
  <c r="K264" i="2"/>
  <c r="S164" i="2"/>
  <c r="P70" i="2"/>
  <c r="P74" i="2"/>
  <c r="P68" i="2"/>
  <c r="Q84" i="2"/>
  <c r="K289" i="2"/>
  <c r="R278" i="2"/>
  <c r="Q277" i="2"/>
  <c r="P69" i="2"/>
  <c r="Q117" i="2"/>
  <c r="Q113" i="2"/>
  <c r="Q110" i="2"/>
  <c r="R281" i="2"/>
  <c r="R280" i="2"/>
  <c r="R277" i="2"/>
  <c r="Q35" i="2"/>
  <c r="K128" i="2"/>
  <c r="S166" i="2"/>
  <c r="K64" i="2"/>
  <c r="K186" i="2"/>
  <c r="F17" i="17"/>
  <c r="K17" i="1" s="1"/>
  <c r="G17" i="17"/>
  <c r="L17" i="1" s="1"/>
  <c r="I17" i="17"/>
  <c r="N17" i="1" s="1"/>
  <c r="E16" i="17"/>
  <c r="J15" i="1" s="1"/>
  <c r="Q70" i="2"/>
  <c r="L20" i="2"/>
  <c r="Q69" i="2"/>
  <c r="R113" i="2"/>
  <c r="R31" i="2"/>
  <c r="V107" i="2"/>
  <c r="R110" i="2"/>
  <c r="L289" i="2"/>
  <c r="R35" i="2"/>
  <c r="L128" i="2"/>
  <c r="Q68" i="2"/>
  <c r="L186" i="2"/>
  <c r="R84" i="2"/>
  <c r="S277" i="2"/>
  <c r="S280" i="2"/>
  <c r="S281" i="2"/>
  <c r="S278" i="2"/>
  <c r="T177" i="2"/>
  <c r="T164" i="2"/>
  <c r="L334" i="2"/>
  <c r="L64" i="2"/>
  <c r="K303" i="2"/>
  <c r="U107" i="2"/>
  <c r="Q280" i="2"/>
  <c r="O69" i="2"/>
  <c r="J264" i="2"/>
  <c r="Q275" i="2"/>
  <c r="J64" i="2"/>
  <c r="O74" i="2"/>
  <c r="J4" i="2"/>
  <c r="L125" i="2" s="1"/>
  <c r="J6" i="2"/>
  <c r="J8" i="2"/>
  <c r="J3" i="2"/>
  <c r="J7" i="2"/>
  <c r="T180" i="2" s="1"/>
  <c r="J9" i="2"/>
  <c r="L300" i="2" s="1"/>
  <c r="J5" i="2"/>
  <c r="J13" i="2"/>
  <c r="R111" i="2" s="1"/>
  <c r="G10" i="2"/>
  <c r="I315" i="2" s="1"/>
  <c r="G8" i="2"/>
  <c r="G3" i="2"/>
  <c r="G7" i="2"/>
  <c r="G13" i="2"/>
  <c r="G9" i="2"/>
  <c r="G4" i="2"/>
  <c r="G5" i="2"/>
  <c r="G6" i="2"/>
  <c r="F18" i="17"/>
  <c r="K19" i="1" s="1"/>
  <c r="G16" i="17"/>
  <c r="L15" i="1" s="1"/>
  <c r="R166" i="2"/>
  <c r="U290" i="2"/>
  <c r="J370" i="2"/>
  <c r="Q278" i="2"/>
  <c r="R164" i="2"/>
  <c r="P113" i="2"/>
  <c r="Q281" i="2"/>
  <c r="P117" i="2"/>
  <c r="J289" i="2"/>
  <c r="J20" i="2"/>
  <c r="J211" i="2"/>
  <c r="T107" i="2"/>
  <c r="O68" i="2"/>
  <c r="P110" i="2"/>
  <c r="O70" i="2"/>
  <c r="P84" i="2"/>
  <c r="J128" i="2"/>
  <c r="B18" i="17"/>
  <c r="G19" i="1" s="1"/>
  <c r="I18" i="17"/>
  <c r="N19" i="1" s="1"/>
  <c r="C18" i="17"/>
  <c r="D18" i="17"/>
  <c r="I19" i="1" s="1"/>
  <c r="G18" i="17"/>
  <c r="L19" i="1" s="1"/>
  <c r="E17" i="17"/>
  <c r="J17" i="1" s="1"/>
  <c r="C17" i="17"/>
  <c r="D17" i="17"/>
  <c r="I17" i="1" s="1"/>
  <c r="F16" i="17"/>
  <c r="K15" i="1" s="1"/>
  <c r="I16" i="17"/>
  <c r="N15" i="1" s="1"/>
  <c r="C16" i="17"/>
  <c r="J186" i="2"/>
  <c r="P31" i="2"/>
  <c r="J334" i="2"/>
  <c r="I10" i="2"/>
  <c r="K324" i="2" s="1"/>
  <c r="I5" i="2"/>
  <c r="I6" i="2"/>
  <c r="K198" i="2" s="1"/>
  <c r="I9" i="2"/>
  <c r="I3" i="2"/>
  <c r="K44" i="2" s="1"/>
  <c r="I8" i="2"/>
  <c r="I7" i="2"/>
  <c r="K254" i="2" s="1"/>
  <c r="I13" i="2"/>
  <c r="S183" i="2" s="1"/>
  <c r="I4" i="2"/>
  <c r="K88" i="2" s="1"/>
  <c r="E10" i="2"/>
  <c r="E6" i="2"/>
  <c r="E11" i="2"/>
  <c r="E3" i="2"/>
  <c r="G60" i="2" s="1"/>
  <c r="E8" i="2"/>
  <c r="E5" i="2"/>
  <c r="E7" i="2"/>
  <c r="E4" i="2"/>
  <c r="E13" i="2"/>
  <c r="N389" i="6" s="1"/>
  <c r="E9" i="2"/>
  <c r="B16" i="17"/>
  <c r="G15" i="1" s="1"/>
  <c r="K334" i="2"/>
  <c r="Q31" i="2"/>
  <c r="H3" i="2"/>
  <c r="J22" i="2" s="1"/>
  <c r="H6" i="2"/>
  <c r="H8" i="2"/>
  <c r="H7" i="2"/>
  <c r="R175" i="2" s="1"/>
  <c r="H5" i="2"/>
  <c r="H9" i="2"/>
  <c r="H10" i="2"/>
  <c r="H13" i="2"/>
  <c r="P114" i="2" s="1"/>
  <c r="H11" i="2"/>
  <c r="H4" i="2"/>
  <c r="P33" i="2" s="1"/>
  <c r="D10" i="2"/>
  <c r="F328" i="2" s="1"/>
  <c r="D9" i="2"/>
  <c r="D13" i="2"/>
  <c r="M88" i="6" s="1"/>
  <c r="D4" i="2"/>
  <c r="D6" i="2"/>
  <c r="D3" i="2"/>
  <c r="D7" i="2"/>
  <c r="D8" i="2"/>
  <c r="D5" i="2"/>
  <c r="D11" i="2"/>
  <c r="F373" i="2" s="1"/>
  <c r="C10" i="2"/>
  <c r="E330" i="2" s="1"/>
  <c r="C11" i="2"/>
  <c r="E396" i="2" s="1"/>
  <c r="C9" i="2"/>
  <c r="C7" i="2"/>
  <c r="C5" i="2"/>
  <c r="C3" i="2"/>
  <c r="E33" i="2" s="1"/>
  <c r="C6" i="2"/>
  <c r="C8" i="2"/>
  <c r="C4" i="2"/>
  <c r="C13" i="2"/>
  <c r="J11" i="2"/>
  <c r="F6" i="2"/>
  <c r="F7" i="2"/>
  <c r="F10" i="2"/>
  <c r="F11" i="2"/>
  <c r="F5" i="2"/>
  <c r="F3" i="2"/>
  <c r="F4" i="2"/>
  <c r="F13" i="2"/>
  <c r="F9" i="2"/>
  <c r="F8" i="2"/>
  <c r="J10" i="2"/>
  <c r="I11" i="2"/>
  <c r="L11" i="2"/>
  <c r="L254" i="2" l="1"/>
  <c r="J254" i="2"/>
  <c r="N290" i="2"/>
  <c r="N299" i="2"/>
  <c r="N294" i="2"/>
  <c r="N295" i="2"/>
  <c r="N301" i="2"/>
  <c r="N292" i="2"/>
  <c r="N297" i="2"/>
  <c r="N192" i="2"/>
  <c r="N150" i="2"/>
  <c r="N157" i="2"/>
  <c r="N194" i="2"/>
  <c r="N171" i="2"/>
  <c r="N182" i="2"/>
  <c r="M199" i="2"/>
  <c r="N174" i="2"/>
  <c r="N195" i="2"/>
  <c r="N209" i="2"/>
  <c r="N183" i="2"/>
  <c r="N193" i="2"/>
  <c r="M147" i="2"/>
  <c r="K30" i="2"/>
  <c r="N139" i="2"/>
  <c r="N166" i="2"/>
  <c r="N191" i="2"/>
  <c r="N168" i="2"/>
  <c r="N300" i="2"/>
  <c r="N200" i="2"/>
  <c r="M192" i="2"/>
  <c r="N158" i="2"/>
  <c r="N199" i="2"/>
  <c r="N142" i="2"/>
  <c r="N206" i="2"/>
  <c r="N201" i="2"/>
  <c r="N208" i="2"/>
  <c r="N160" i="2"/>
  <c r="N153" i="2"/>
  <c r="N207" i="2"/>
  <c r="N164" i="2"/>
  <c r="N188" i="2"/>
  <c r="N190" i="2"/>
  <c r="N151" i="2"/>
  <c r="N132" i="2"/>
  <c r="N130" i="2"/>
  <c r="N187" i="2"/>
  <c r="N202" i="2"/>
  <c r="N198" i="2"/>
  <c r="T183" i="2"/>
  <c r="N205" i="2"/>
  <c r="N203" i="2"/>
  <c r="N167" i="2"/>
  <c r="N145" i="2"/>
  <c r="N196" i="2"/>
  <c r="N156" i="2"/>
  <c r="N189" i="2"/>
  <c r="N176" i="2"/>
  <c r="N177" i="2"/>
  <c r="N141" i="2"/>
  <c r="N169" i="2"/>
  <c r="N134" i="2"/>
  <c r="N137" i="2"/>
  <c r="N197" i="2"/>
  <c r="P35" i="2"/>
  <c r="R27" i="2" s="1"/>
  <c r="Q27" i="2" s="1"/>
  <c r="P27" i="2" s="1"/>
  <c r="P23" i="6" s="1"/>
  <c r="I318" i="2"/>
  <c r="N149" i="2"/>
  <c r="M131" i="2"/>
  <c r="S115" i="2"/>
  <c r="N148" i="2"/>
  <c r="M96" i="2"/>
  <c r="M95" i="2"/>
  <c r="M87" i="2"/>
  <c r="M117" i="2"/>
  <c r="M106" i="2"/>
  <c r="M42" i="2"/>
  <c r="M43" i="2"/>
  <c r="M28" i="2"/>
  <c r="M33" i="2"/>
  <c r="N136" i="2"/>
  <c r="N163" i="2"/>
  <c r="L290" i="2"/>
  <c r="N291" i="2"/>
  <c r="I325" i="2"/>
  <c r="L301" i="2"/>
  <c r="N373" i="2"/>
  <c r="M82" i="2"/>
  <c r="M120" i="2"/>
  <c r="N161" i="2"/>
  <c r="L299" i="2"/>
  <c r="N135" i="2"/>
  <c r="N138" i="2"/>
  <c r="N162" i="2"/>
  <c r="N159" i="2"/>
  <c r="N121" i="2"/>
  <c r="M54" i="2"/>
  <c r="M48" i="2"/>
  <c r="M58" i="2"/>
  <c r="M21" i="2"/>
  <c r="M49" i="2"/>
  <c r="M22" i="2"/>
  <c r="M26" i="2"/>
  <c r="M27" i="2"/>
  <c r="M57" i="2"/>
  <c r="M61" i="2"/>
  <c r="M30" i="2"/>
  <c r="M29" i="2"/>
  <c r="M103" i="2"/>
  <c r="M32" i="2"/>
  <c r="M44" i="2"/>
  <c r="M36" i="2"/>
  <c r="M37" i="2"/>
  <c r="M60" i="2"/>
  <c r="M52" i="2"/>
  <c r="M59" i="2"/>
  <c r="M24" i="2"/>
  <c r="M56" i="2"/>
  <c r="M23" i="2"/>
  <c r="M41" i="2"/>
  <c r="M55" i="2"/>
  <c r="M62" i="2"/>
  <c r="M45" i="2"/>
  <c r="N296" i="2"/>
  <c r="M38" i="2"/>
  <c r="M46" i="2"/>
  <c r="M31" i="2"/>
  <c r="N298" i="2"/>
  <c r="R178" i="2"/>
  <c r="T176" i="2"/>
  <c r="K79" i="2"/>
  <c r="F314" i="2"/>
  <c r="F311" i="2"/>
  <c r="F304" i="2"/>
  <c r="F324" i="2"/>
  <c r="F330" i="2"/>
  <c r="F318" i="2"/>
  <c r="F332" i="2"/>
  <c r="F322" i="2"/>
  <c r="F326" i="2"/>
  <c r="R37" i="2"/>
  <c r="R33" i="2"/>
  <c r="T169" i="2"/>
  <c r="T182" i="2"/>
  <c r="R32" i="2"/>
  <c r="T165" i="2"/>
  <c r="T178" i="2"/>
  <c r="R34" i="2"/>
  <c r="T172" i="2"/>
  <c r="T167" i="2"/>
  <c r="T181" i="2"/>
  <c r="T174" i="2"/>
  <c r="T171" i="2"/>
  <c r="R85" i="2"/>
  <c r="T173" i="2"/>
  <c r="R36" i="2"/>
  <c r="K305" i="2"/>
  <c r="K311" i="2"/>
  <c r="K323" i="2"/>
  <c r="K309" i="2"/>
  <c r="K320" i="2"/>
  <c r="K321" i="2"/>
  <c r="K331" i="2"/>
  <c r="K330" i="2"/>
  <c r="K326" i="2"/>
  <c r="K319" i="2"/>
  <c r="K315" i="2"/>
  <c r="L66" i="2"/>
  <c r="L100" i="2"/>
  <c r="R114" i="2"/>
  <c r="L295" i="2"/>
  <c r="L95" i="2"/>
  <c r="L93" i="2"/>
  <c r="L99" i="2"/>
  <c r="L65" i="2"/>
  <c r="L75" i="2"/>
  <c r="L74" i="2"/>
  <c r="L119" i="2"/>
  <c r="L112" i="2"/>
  <c r="L111" i="2"/>
  <c r="L118" i="2"/>
  <c r="L123" i="2"/>
  <c r="L96" i="2"/>
  <c r="L78" i="2"/>
  <c r="L121" i="2"/>
  <c r="L67" i="2"/>
  <c r="L72" i="2"/>
  <c r="L77" i="2"/>
  <c r="L68" i="2"/>
  <c r="L120" i="2"/>
  <c r="L124" i="2"/>
  <c r="L97" i="2"/>
  <c r="L80" i="2"/>
  <c r="L106" i="2"/>
  <c r="L79" i="2"/>
  <c r="L107" i="2"/>
  <c r="L81" i="2"/>
  <c r="L116" i="2"/>
  <c r="L103" i="2"/>
  <c r="L84" i="2"/>
  <c r="L91" i="2"/>
  <c r="L122" i="2"/>
  <c r="L69" i="2"/>
  <c r="L87" i="2"/>
  <c r="L114" i="2"/>
  <c r="L126" i="2"/>
  <c r="L88" i="2"/>
  <c r="L94" i="2"/>
  <c r="L110" i="2"/>
  <c r="L73" i="2"/>
  <c r="L86" i="2"/>
  <c r="L76" i="2"/>
  <c r="L104" i="2"/>
  <c r="L296" i="2"/>
  <c r="L89" i="2"/>
  <c r="L113" i="2"/>
  <c r="L105" i="2"/>
  <c r="L82" i="2"/>
  <c r="L70" i="2"/>
  <c r="L297" i="2"/>
  <c r="F317" i="2"/>
  <c r="F306" i="2"/>
  <c r="F305" i="2"/>
  <c r="F312" i="2"/>
  <c r="F308" i="2"/>
  <c r="R183" i="2"/>
  <c r="I326" i="2"/>
  <c r="I328" i="2"/>
  <c r="I313" i="2"/>
  <c r="I322" i="2"/>
  <c r="I314" i="2"/>
  <c r="K80" i="2"/>
  <c r="I320" i="2"/>
  <c r="I329" i="2"/>
  <c r="I331" i="2"/>
  <c r="J34" i="2"/>
  <c r="J25" i="2"/>
  <c r="J36" i="2"/>
  <c r="L298" i="2"/>
  <c r="L293" i="2"/>
  <c r="L291" i="2"/>
  <c r="I305" i="2"/>
  <c r="I330" i="2"/>
  <c r="I324" i="2"/>
  <c r="I312" i="2"/>
  <c r="V188" i="2"/>
  <c r="I309" i="2"/>
  <c r="I316" i="2"/>
  <c r="I321" i="2"/>
  <c r="I323" i="2"/>
  <c r="I311" i="2"/>
  <c r="I332" i="2"/>
  <c r="I308" i="2"/>
  <c r="I306" i="2"/>
  <c r="I310" i="2"/>
  <c r="I317" i="2"/>
  <c r="I307" i="2"/>
  <c r="I319" i="2"/>
  <c r="I304" i="2"/>
  <c r="K97" i="2"/>
  <c r="K117" i="2"/>
  <c r="K90" i="2"/>
  <c r="K89" i="2"/>
  <c r="K92" i="2"/>
  <c r="K313" i="2"/>
  <c r="M362" i="6"/>
  <c r="K45" i="2"/>
  <c r="G42" i="2"/>
  <c r="N376" i="6"/>
  <c r="E402" i="2"/>
  <c r="K65" i="2"/>
  <c r="K75" i="2"/>
  <c r="K104" i="2"/>
  <c r="K123" i="2"/>
  <c r="K81" i="2"/>
  <c r="K106" i="2"/>
  <c r="K120" i="2"/>
  <c r="K116" i="2"/>
  <c r="K69" i="2"/>
  <c r="M329" i="6"/>
  <c r="M258" i="6"/>
  <c r="F310" i="2"/>
  <c r="K325" i="2"/>
  <c r="N377" i="6"/>
  <c r="N358" i="6"/>
  <c r="F376" i="2"/>
  <c r="M110" i="2"/>
  <c r="F366" i="2"/>
  <c r="K332" i="2"/>
  <c r="K310" i="2"/>
  <c r="F313" i="2"/>
  <c r="K308" i="2"/>
  <c r="K328" i="2"/>
  <c r="F319" i="2"/>
  <c r="K312" i="2"/>
  <c r="F325" i="2"/>
  <c r="K304" i="2"/>
  <c r="K317" i="2"/>
  <c r="N368" i="6"/>
  <c r="M92" i="2"/>
  <c r="M98" i="2"/>
  <c r="N392" i="6"/>
  <c r="M100" i="2"/>
  <c r="K314" i="2"/>
  <c r="N331" i="6"/>
  <c r="F309" i="2"/>
  <c r="K307" i="2"/>
  <c r="F321" i="2"/>
  <c r="F329" i="2"/>
  <c r="K329" i="2"/>
  <c r="K306" i="2"/>
  <c r="K25" i="2"/>
  <c r="N339" i="6"/>
  <c r="F307" i="2"/>
  <c r="F320" i="2"/>
  <c r="F315" i="2"/>
  <c r="K322" i="2"/>
  <c r="K318" i="2"/>
  <c r="K86" i="2"/>
  <c r="M113" i="2"/>
  <c r="F344" i="2"/>
  <c r="N129" i="2"/>
  <c r="F404" i="2"/>
  <c r="F316" i="2"/>
  <c r="F331" i="2"/>
  <c r="K327" i="2"/>
  <c r="K316" i="2"/>
  <c r="M118" i="2"/>
  <c r="F342" i="2"/>
  <c r="N362" i="6"/>
  <c r="N144" i="2"/>
  <c r="J295" i="2"/>
  <c r="M239" i="6"/>
  <c r="M134" i="6"/>
  <c r="M342" i="6"/>
  <c r="M93" i="6"/>
  <c r="M297" i="6"/>
  <c r="M106" i="6"/>
  <c r="M262" i="6"/>
  <c r="M350" i="6"/>
  <c r="M373" i="6"/>
  <c r="M79" i="6"/>
  <c r="M246" i="6"/>
  <c r="M314" i="6"/>
  <c r="M360" i="6"/>
  <c r="M227" i="6"/>
  <c r="M131" i="6"/>
  <c r="M335" i="6"/>
  <c r="M243" i="6"/>
  <c r="M162" i="6"/>
  <c r="M141" i="6"/>
  <c r="M251" i="6"/>
  <c r="M206" i="6"/>
  <c r="M156" i="6"/>
  <c r="M228" i="6"/>
  <c r="M340" i="6"/>
  <c r="M204" i="6"/>
  <c r="M269" i="6"/>
  <c r="M351" i="6"/>
  <c r="M23" i="6"/>
  <c r="M282" i="6"/>
  <c r="M172" i="6"/>
  <c r="M9" i="6"/>
  <c r="F102" i="2"/>
  <c r="M353" i="6"/>
  <c r="M265" i="6"/>
  <c r="M385" i="6"/>
  <c r="M280" i="6"/>
  <c r="M263" i="6"/>
  <c r="M189" i="6"/>
  <c r="M275" i="6"/>
  <c r="M207" i="6"/>
  <c r="M252" i="6"/>
  <c r="M121" i="6"/>
  <c r="F50" i="2"/>
  <c r="N143" i="2"/>
  <c r="N154" i="2"/>
  <c r="N147" i="2"/>
  <c r="M332" i="6"/>
  <c r="F327" i="2"/>
  <c r="F323" i="2"/>
  <c r="J52" i="2"/>
  <c r="I327" i="2"/>
  <c r="K82" i="2"/>
  <c r="M75" i="6"/>
  <c r="M260" i="6"/>
  <c r="M296" i="6"/>
  <c r="M241" i="6"/>
  <c r="M209" i="6"/>
  <c r="X108" i="2"/>
  <c r="N180" i="2"/>
  <c r="N146" i="2"/>
  <c r="N181" i="2"/>
  <c r="M83" i="6"/>
  <c r="M244" i="6"/>
  <c r="M245" i="6"/>
  <c r="N359" i="6"/>
  <c r="N120" i="2"/>
  <c r="N113" i="2"/>
  <c r="N107" i="2"/>
  <c r="N401" i="2"/>
  <c r="N117" i="2"/>
  <c r="N73" i="2"/>
  <c r="M171" i="2"/>
  <c r="M151" i="2"/>
  <c r="M149" i="2"/>
  <c r="M139" i="2"/>
  <c r="M172" i="2"/>
  <c r="M154" i="2"/>
  <c r="E315" i="2"/>
  <c r="M266" i="6"/>
  <c r="M336" i="6"/>
  <c r="M30" i="6"/>
  <c r="N399" i="2"/>
  <c r="J44" i="2"/>
  <c r="M223" i="6"/>
  <c r="M208" i="6"/>
  <c r="M180" i="6"/>
  <c r="M248" i="6"/>
  <c r="M323" i="6"/>
  <c r="M52" i="6"/>
  <c r="E362" i="2"/>
  <c r="J62" i="2"/>
  <c r="M255" i="6"/>
  <c r="K42" i="2"/>
  <c r="M211" i="6"/>
  <c r="M114" i="6"/>
  <c r="M250" i="6"/>
  <c r="M326" i="6"/>
  <c r="M154" i="6"/>
  <c r="E358" i="2"/>
  <c r="J45" i="2"/>
  <c r="M247" i="6"/>
  <c r="K21" i="2"/>
  <c r="M259" i="6"/>
  <c r="M242" i="6"/>
  <c r="M194" i="6"/>
  <c r="M291" i="6"/>
  <c r="M40" i="6"/>
  <c r="M356" i="6"/>
  <c r="N407" i="2"/>
  <c r="N400" i="2"/>
  <c r="M77" i="6"/>
  <c r="M279" i="6"/>
  <c r="M192" i="6"/>
  <c r="M80" i="6"/>
  <c r="M78" i="6"/>
  <c r="M116" i="6"/>
  <c r="M168" i="6"/>
  <c r="M142" i="6"/>
  <c r="N398" i="2"/>
  <c r="M337" i="6"/>
  <c r="M110" i="6"/>
  <c r="M104" i="6"/>
  <c r="M334" i="6"/>
  <c r="M152" i="6"/>
  <c r="M126" i="6"/>
  <c r="M328" i="6"/>
  <c r="M191" i="6"/>
  <c r="M298" i="6"/>
  <c r="K31" i="2"/>
  <c r="M289" i="6"/>
  <c r="M201" i="6"/>
  <c r="M307" i="6"/>
  <c r="M151" i="6"/>
  <c r="N406" i="2"/>
  <c r="M81" i="6"/>
  <c r="J31" i="2"/>
  <c r="M299" i="6"/>
  <c r="M74" i="6"/>
  <c r="M304" i="6"/>
  <c r="M230" i="6"/>
  <c r="M339" i="6"/>
  <c r="M161" i="6"/>
  <c r="M390" i="6"/>
  <c r="M155" i="6"/>
  <c r="M205" i="2"/>
  <c r="J28" i="2"/>
  <c r="M186" i="6"/>
  <c r="M67" i="6"/>
  <c r="E336" i="2"/>
  <c r="J55" i="2"/>
  <c r="M311" i="6"/>
  <c r="M29" i="6"/>
  <c r="M312" i="6"/>
  <c r="M87" i="6"/>
  <c r="M348" i="6"/>
  <c r="M165" i="6"/>
  <c r="F397" i="2"/>
  <c r="M338" i="6"/>
  <c r="N374" i="2"/>
  <c r="N131" i="2"/>
  <c r="M365" i="6"/>
  <c r="M271" i="6"/>
  <c r="M268" i="6"/>
  <c r="M306" i="6"/>
  <c r="M146" i="6"/>
  <c r="M49" i="6"/>
  <c r="M276" i="6"/>
  <c r="F345" i="2"/>
  <c r="M197" i="6"/>
  <c r="M292" i="6"/>
  <c r="M372" i="6"/>
  <c r="M261" i="6"/>
  <c r="M235" i="6"/>
  <c r="M157" i="6"/>
  <c r="K26" i="2"/>
  <c r="M117" i="6"/>
  <c r="M178" i="6"/>
  <c r="M41" i="6"/>
  <c r="T278" i="2"/>
  <c r="T179" i="2"/>
  <c r="M185" i="6"/>
  <c r="M367" i="6"/>
  <c r="M368" i="6"/>
  <c r="M120" i="6"/>
  <c r="K49" i="2"/>
  <c r="M301" i="6"/>
  <c r="M374" i="6"/>
  <c r="N402" i="2"/>
  <c r="N404" i="2"/>
  <c r="N403" i="2"/>
  <c r="M270" i="6"/>
  <c r="M198" i="6"/>
  <c r="K38" i="2"/>
  <c r="M345" i="6"/>
  <c r="F371" i="2"/>
  <c r="M176" i="6"/>
  <c r="M129" i="6"/>
  <c r="M143" i="6"/>
  <c r="M91" i="6"/>
  <c r="N330" i="2"/>
  <c r="N329" i="2"/>
  <c r="N328" i="2"/>
  <c r="N319" i="2"/>
  <c r="N326" i="2"/>
  <c r="N311" i="2"/>
  <c r="N318" i="2"/>
  <c r="N309" i="2"/>
  <c r="N310" i="2"/>
  <c r="N325" i="2"/>
  <c r="N316" i="2"/>
  <c r="N327" i="2"/>
  <c r="N308" i="2"/>
  <c r="N314" i="2"/>
  <c r="N304" i="2"/>
  <c r="N332" i="2"/>
  <c r="N320" i="2"/>
  <c r="N323" i="2"/>
  <c r="N305" i="2"/>
  <c r="N306" i="2"/>
  <c r="N321" i="2"/>
  <c r="N312" i="2"/>
  <c r="N307" i="2"/>
  <c r="N324" i="2"/>
  <c r="N317" i="2"/>
  <c r="N315" i="2"/>
  <c r="N322" i="2"/>
  <c r="N331" i="2"/>
  <c r="N313" i="2"/>
  <c r="M153" i="6"/>
  <c r="M317" i="6"/>
  <c r="F359" i="2"/>
  <c r="M175" i="6"/>
  <c r="M140" i="6"/>
  <c r="M147" i="6"/>
  <c r="M341" i="6"/>
  <c r="N77" i="2"/>
  <c r="N85" i="2"/>
  <c r="N75" i="2"/>
  <c r="N79" i="2"/>
  <c r="N78" i="2"/>
  <c r="N100" i="2"/>
  <c r="N125" i="2"/>
  <c r="N123" i="2"/>
  <c r="N98" i="2"/>
  <c r="N90" i="2"/>
  <c r="N87" i="2"/>
  <c r="N114" i="2"/>
  <c r="N68" i="2"/>
  <c r="N119" i="2"/>
  <c r="N83" i="2"/>
  <c r="N96" i="2"/>
  <c r="N110" i="2"/>
  <c r="N80" i="2"/>
  <c r="N76" i="2"/>
  <c r="N95" i="2"/>
  <c r="N67" i="2"/>
  <c r="N97" i="2"/>
  <c r="N122" i="2"/>
  <c r="N126" i="2"/>
  <c r="N72" i="2"/>
  <c r="N105" i="2"/>
  <c r="N66" i="2"/>
  <c r="N92" i="2"/>
  <c r="N99" i="2"/>
  <c r="N71" i="2"/>
  <c r="N118" i="2"/>
  <c r="N69" i="2"/>
  <c r="N82" i="2"/>
  <c r="N81" i="2"/>
  <c r="N86" i="2"/>
  <c r="N93" i="2"/>
  <c r="N104" i="2"/>
  <c r="N124" i="2"/>
  <c r="N111" i="2"/>
  <c r="N106" i="2"/>
  <c r="N65" i="2"/>
  <c r="N115" i="2"/>
  <c r="N109" i="2"/>
  <c r="N94" i="2"/>
  <c r="N84" i="2"/>
  <c r="N116" i="2"/>
  <c r="N112" i="2"/>
  <c r="N88" i="2"/>
  <c r="N74" i="2"/>
  <c r="N70" i="2"/>
  <c r="N108" i="2"/>
  <c r="N91" i="2"/>
  <c r="N25" i="2"/>
  <c r="N42" i="2"/>
  <c r="N30" i="2"/>
  <c r="N33" i="2"/>
  <c r="N56" i="2"/>
  <c r="N37" i="2"/>
  <c r="N59" i="2"/>
  <c r="N43" i="2"/>
  <c r="N41" i="2"/>
  <c r="N36" i="2"/>
  <c r="N48" i="2"/>
  <c r="N54" i="2"/>
  <c r="N32" i="2"/>
  <c r="N44" i="2"/>
  <c r="N45" i="2"/>
  <c r="N55" i="2"/>
  <c r="N24" i="2"/>
  <c r="N21" i="2"/>
  <c r="N27" i="2"/>
  <c r="N22" i="2"/>
  <c r="N34" i="2"/>
  <c r="N52" i="2"/>
  <c r="N26" i="2"/>
  <c r="N38" i="2"/>
  <c r="N23" i="2"/>
  <c r="N46" i="2"/>
  <c r="N58" i="2"/>
  <c r="N60" i="2"/>
  <c r="N57" i="2"/>
  <c r="N61" i="2"/>
  <c r="N28" i="2"/>
  <c r="N29" i="2"/>
  <c r="N62" i="2"/>
  <c r="N49" i="2"/>
  <c r="N39" i="2"/>
  <c r="N53" i="2"/>
  <c r="N35" i="2"/>
  <c r="N40" i="2"/>
  <c r="N50" i="2"/>
  <c r="N101" i="2"/>
  <c r="N51" i="2"/>
  <c r="N47" i="2"/>
  <c r="N271" i="2"/>
  <c r="N279" i="2"/>
  <c r="N286" i="2"/>
  <c r="N265" i="2"/>
  <c r="N268" i="2"/>
  <c r="N266" i="2"/>
  <c r="N278" i="2"/>
  <c r="N287" i="2"/>
  <c r="N276" i="2"/>
  <c r="N274" i="2"/>
  <c r="N267" i="2"/>
  <c r="N282" i="2"/>
  <c r="N284" i="2"/>
  <c r="N275" i="2"/>
  <c r="N280" i="2"/>
  <c r="N277" i="2"/>
  <c r="N272" i="2"/>
  <c r="N269" i="2"/>
  <c r="N283" i="2"/>
  <c r="N285" i="2"/>
  <c r="N270" i="2"/>
  <c r="N281" i="2"/>
  <c r="N273" i="2"/>
  <c r="N175" i="2"/>
  <c r="N179" i="2"/>
  <c r="N170" i="2"/>
  <c r="N152" i="2"/>
  <c r="N173" i="2"/>
  <c r="N172" i="2"/>
  <c r="N155" i="2"/>
  <c r="N178" i="2"/>
  <c r="N165" i="2"/>
  <c r="N133" i="2"/>
  <c r="M66" i="6"/>
  <c r="F401" i="2"/>
  <c r="M200" i="6"/>
  <c r="K197" i="2"/>
  <c r="M389" i="6"/>
  <c r="M231" i="6"/>
  <c r="M203" i="6"/>
  <c r="M118" i="6"/>
  <c r="M290" i="6"/>
  <c r="F395" i="2"/>
  <c r="M39" i="6"/>
  <c r="M17" i="6"/>
  <c r="N245" i="2"/>
  <c r="N262" i="2"/>
  <c r="N254" i="2"/>
  <c r="N220" i="2"/>
  <c r="N222" i="2"/>
  <c r="N257" i="2"/>
  <c r="N235" i="2"/>
  <c r="N250" i="2"/>
  <c r="N216" i="2"/>
  <c r="N247" i="2"/>
  <c r="N224" i="2"/>
  <c r="N260" i="2"/>
  <c r="N229" i="2"/>
  <c r="N239" i="2"/>
  <c r="N246" i="2"/>
  <c r="N219" i="2"/>
  <c r="N252" i="2"/>
  <c r="N243" i="2"/>
  <c r="N256" i="2"/>
  <c r="N240" i="2"/>
  <c r="N234" i="2"/>
  <c r="N212" i="2"/>
  <c r="N242" i="2"/>
  <c r="N213" i="2"/>
  <c r="N238" i="2"/>
  <c r="N261" i="2"/>
  <c r="N244" i="2"/>
  <c r="N236" i="2"/>
  <c r="N251" i="2"/>
  <c r="N227" i="2"/>
  <c r="N232" i="2"/>
  <c r="N241" i="2"/>
  <c r="N223" i="2"/>
  <c r="N217" i="2"/>
  <c r="N215" i="2"/>
  <c r="N258" i="2"/>
  <c r="N230" i="2"/>
  <c r="N231" i="2"/>
  <c r="N214" i="2"/>
  <c r="N237" i="2"/>
  <c r="N259" i="2"/>
  <c r="N255" i="2"/>
  <c r="N249" i="2"/>
  <c r="N226" i="2"/>
  <c r="N228" i="2"/>
  <c r="N233" i="2"/>
  <c r="N248" i="2"/>
  <c r="N218" i="2"/>
  <c r="N253" i="2"/>
  <c r="N225" i="2"/>
  <c r="N221" i="2"/>
  <c r="J42" i="2"/>
  <c r="M359" i="6"/>
  <c r="E400" i="2"/>
  <c r="M321" i="6"/>
  <c r="M95" i="6"/>
  <c r="F367" i="2"/>
  <c r="M210" i="6"/>
  <c r="M205" i="6"/>
  <c r="M379" i="6"/>
  <c r="M281" i="6"/>
  <c r="M214" i="6"/>
  <c r="M122" i="6"/>
  <c r="F403" i="2"/>
  <c r="M132" i="6"/>
  <c r="M50" i="6"/>
  <c r="G53" i="2"/>
  <c r="G21" i="2"/>
  <c r="G30" i="2"/>
  <c r="G54" i="2"/>
  <c r="G49" i="2"/>
  <c r="G22" i="2"/>
  <c r="M173" i="6"/>
  <c r="M125" i="6"/>
  <c r="M182" i="6"/>
  <c r="M54" i="6"/>
  <c r="M295" i="6"/>
  <c r="M363" i="6"/>
  <c r="G25" i="2"/>
  <c r="M316" i="6"/>
  <c r="G62" i="2"/>
  <c r="M361" i="6"/>
  <c r="M135" i="6"/>
  <c r="M25" i="6"/>
  <c r="K32" i="2"/>
  <c r="M344" i="6"/>
  <c r="M109" i="6"/>
  <c r="G27" i="2"/>
  <c r="M378" i="6"/>
  <c r="M216" i="6"/>
  <c r="M177" i="6"/>
  <c r="M375" i="6"/>
  <c r="M119" i="6"/>
  <c r="M133" i="6"/>
  <c r="K24" i="2"/>
  <c r="K60" i="2"/>
  <c r="M100" i="6"/>
  <c r="M322" i="6"/>
  <c r="M370" i="6"/>
  <c r="M213" i="6"/>
  <c r="M383" i="6"/>
  <c r="M219" i="6"/>
  <c r="M160" i="6"/>
  <c r="M391" i="6"/>
  <c r="M130" i="6"/>
  <c r="M128" i="6"/>
  <c r="M8" i="6"/>
  <c r="G46" i="2"/>
  <c r="M86" i="6"/>
  <c r="M190" i="6"/>
  <c r="M300" i="6"/>
  <c r="M226" i="2"/>
  <c r="M257" i="2"/>
  <c r="M246" i="2"/>
  <c r="M217" i="2"/>
  <c r="M239" i="2"/>
  <c r="M224" i="2"/>
  <c r="M249" i="2"/>
  <c r="M254" i="2"/>
  <c r="M225" i="2"/>
  <c r="M247" i="2"/>
  <c r="M259" i="2"/>
  <c r="M235" i="2"/>
  <c r="M216" i="2"/>
  <c r="M248" i="2"/>
  <c r="M212" i="2"/>
  <c r="M221" i="2"/>
  <c r="M261" i="2"/>
  <c r="M234" i="2"/>
  <c r="M244" i="2"/>
  <c r="M238" i="2"/>
  <c r="M220" i="2"/>
  <c r="M250" i="2"/>
  <c r="M245" i="2"/>
  <c r="M252" i="2"/>
  <c r="M237" i="2"/>
  <c r="M227" i="2"/>
  <c r="M218" i="2"/>
  <c r="M231" i="2"/>
  <c r="M213" i="2"/>
  <c r="M219" i="2"/>
  <c r="M253" i="2"/>
  <c r="M251" i="2"/>
  <c r="M223" i="2"/>
  <c r="M256" i="2"/>
  <c r="M232" i="2"/>
  <c r="M215" i="2"/>
  <c r="M240" i="2"/>
  <c r="M214" i="2"/>
  <c r="M262" i="2"/>
  <c r="M229" i="2"/>
  <c r="M233" i="2"/>
  <c r="M242" i="2"/>
  <c r="M258" i="2"/>
  <c r="M241" i="2"/>
  <c r="M222" i="2"/>
  <c r="M228" i="2"/>
  <c r="M243" i="2"/>
  <c r="M255" i="2"/>
  <c r="M236" i="2"/>
  <c r="M321" i="2"/>
  <c r="M328" i="2"/>
  <c r="M309" i="2"/>
  <c r="M324" i="2"/>
  <c r="M315" i="2"/>
  <c r="M316" i="2"/>
  <c r="M327" i="2"/>
  <c r="M318" i="2"/>
  <c r="M306" i="2"/>
  <c r="M312" i="2"/>
  <c r="M304" i="2"/>
  <c r="M313" i="2"/>
  <c r="M331" i="2"/>
  <c r="M308" i="2"/>
  <c r="M317" i="2"/>
  <c r="M322" i="2"/>
  <c r="M323" i="2"/>
  <c r="M326" i="2"/>
  <c r="M319" i="2"/>
  <c r="M311" i="2"/>
  <c r="M305" i="2"/>
  <c r="M310" i="2"/>
  <c r="M329" i="2"/>
  <c r="M325" i="2"/>
  <c r="M307" i="2"/>
  <c r="M332" i="2"/>
  <c r="M314" i="2"/>
  <c r="G45" i="2"/>
  <c r="G26" i="2"/>
  <c r="M372" i="2"/>
  <c r="M394" i="2"/>
  <c r="M361" i="2"/>
  <c r="M340" i="2"/>
  <c r="M405" i="2"/>
  <c r="M384" i="2"/>
  <c r="M355" i="2"/>
  <c r="M338" i="2"/>
  <c r="M381" i="2"/>
  <c r="M379" i="2"/>
  <c r="M339" i="2"/>
  <c r="M358" i="2"/>
  <c r="M362" i="2"/>
  <c r="M386" i="2"/>
  <c r="M375" i="2"/>
  <c r="M368" i="2"/>
  <c r="M342" i="2"/>
  <c r="M378" i="2"/>
  <c r="M403" i="2"/>
  <c r="M388" i="2"/>
  <c r="M348" i="2"/>
  <c r="M352" i="2"/>
  <c r="M371" i="2"/>
  <c r="M341" i="2"/>
  <c r="M399" i="2"/>
  <c r="M383" i="2"/>
  <c r="M346" i="2"/>
  <c r="M350" i="2"/>
  <c r="M359" i="2"/>
  <c r="M395" i="2"/>
  <c r="M382" i="2"/>
  <c r="M360" i="2"/>
  <c r="M349" i="2"/>
  <c r="M357" i="2"/>
  <c r="M391" i="2"/>
  <c r="M406" i="2"/>
  <c r="M366" i="2"/>
  <c r="M356" i="2"/>
  <c r="M404" i="2"/>
  <c r="M376" i="2"/>
  <c r="M401" i="2"/>
  <c r="M353" i="2"/>
  <c r="M347" i="2"/>
  <c r="M351" i="2"/>
  <c r="M400" i="2"/>
  <c r="M397" i="2"/>
  <c r="M337" i="2"/>
  <c r="M343" i="2"/>
  <c r="M380" i="2"/>
  <c r="M393" i="2"/>
  <c r="M344" i="2"/>
  <c r="M367" i="2"/>
  <c r="M364" i="2"/>
  <c r="M377" i="2"/>
  <c r="M335" i="2"/>
  <c r="M385" i="2"/>
  <c r="M392" i="2"/>
  <c r="M387" i="2"/>
  <c r="M345" i="2"/>
  <c r="M336" i="2"/>
  <c r="M365" i="2"/>
  <c r="M396" i="2"/>
  <c r="M407" i="2"/>
  <c r="M374" i="2"/>
  <c r="M363" i="2"/>
  <c r="M354" i="2"/>
  <c r="M389" i="2"/>
  <c r="M373" i="2"/>
  <c r="M402" i="2"/>
  <c r="M398" i="2"/>
  <c r="G57" i="2"/>
  <c r="M278" i="2"/>
  <c r="M267" i="2"/>
  <c r="M279" i="2"/>
  <c r="M277" i="2"/>
  <c r="M286" i="2"/>
  <c r="M285" i="2"/>
  <c r="M283" i="2"/>
  <c r="M273" i="2"/>
  <c r="M272" i="2"/>
  <c r="M266" i="2"/>
  <c r="M270" i="2"/>
  <c r="M276" i="2"/>
  <c r="M268" i="2"/>
  <c r="M271" i="2"/>
  <c r="M282" i="2"/>
  <c r="M269" i="2"/>
  <c r="M284" i="2"/>
  <c r="M287" i="2"/>
  <c r="M274" i="2"/>
  <c r="M275" i="2"/>
  <c r="M265" i="2"/>
  <c r="M280" i="2"/>
  <c r="M281" i="2"/>
  <c r="M293" i="2"/>
  <c r="M295" i="2"/>
  <c r="M299" i="2"/>
  <c r="M290" i="2"/>
  <c r="M195" i="2"/>
  <c r="M188" i="2"/>
  <c r="M208" i="2"/>
  <c r="M197" i="2"/>
  <c r="M200" i="2"/>
  <c r="M198" i="2"/>
  <c r="M196" i="2"/>
  <c r="M193" i="2"/>
  <c r="M204" i="2"/>
  <c r="M203" i="2"/>
  <c r="M189" i="2"/>
  <c r="M225" i="6"/>
  <c r="M193" i="6"/>
  <c r="M233" i="6"/>
  <c r="M303" i="6"/>
  <c r="M272" i="6"/>
  <c r="K54" i="2"/>
  <c r="M199" i="6"/>
  <c r="M212" i="6"/>
  <c r="M369" i="6"/>
  <c r="M145" i="6"/>
  <c r="M169" i="6"/>
  <c r="M59" i="6"/>
  <c r="M31" i="6"/>
  <c r="M50" i="2"/>
  <c r="M101" i="2"/>
  <c r="M102" i="2"/>
  <c r="M47" i="2"/>
  <c r="M51" i="2"/>
  <c r="M232" i="6"/>
  <c r="M310" i="6"/>
  <c r="M256" i="6"/>
  <c r="K48" i="2"/>
  <c r="M249" i="6"/>
  <c r="G39" i="2"/>
  <c r="M215" i="6"/>
  <c r="M144" i="6"/>
  <c r="M384" i="6"/>
  <c r="M202" i="6"/>
  <c r="M113" i="6"/>
  <c r="M5" i="6"/>
  <c r="M12" i="6"/>
  <c r="M320" i="2"/>
  <c r="M164" i="2"/>
  <c r="M176" i="2"/>
  <c r="M134" i="2"/>
  <c r="M145" i="2"/>
  <c r="M158" i="2"/>
  <c r="M153" i="2"/>
  <c r="M142" i="2"/>
  <c r="M169" i="2"/>
  <c r="M137" i="2"/>
  <c r="M152" i="2"/>
  <c r="M168" i="2"/>
  <c r="M136" i="2"/>
  <c r="M162" i="2"/>
  <c r="M167" i="2"/>
  <c r="M138" i="2"/>
  <c r="M144" i="2"/>
  <c r="M178" i="2"/>
  <c r="M177" i="2"/>
  <c r="M133" i="2"/>
  <c r="M130" i="2"/>
  <c r="M165" i="2"/>
  <c r="M148" i="2"/>
  <c r="M146" i="2"/>
  <c r="M180" i="2"/>
  <c r="M181" i="2"/>
  <c r="M182" i="2"/>
  <c r="M173" i="2"/>
  <c r="M129" i="2"/>
  <c r="M166" i="2"/>
  <c r="M175" i="2"/>
  <c r="M160" i="2"/>
  <c r="M170" i="2"/>
  <c r="M140" i="2"/>
  <c r="M163" i="2"/>
  <c r="M183" i="2"/>
  <c r="M157" i="2"/>
  <c r="M159" i="2"/>
  <c r="M141" i="2"/>
  <c r="M156" i="2"/>
  <c r="M135" i="2"/>
  <c r="M179" i="2"/>
  <c r="M161" i="2"/>
  <c r="M132" i="2"/>
  <c r="M174" i="2"/>
  <c r="M155" i="2"/>
  <c r="M143" i="2"/>
  <c r="G24" i="2"/>
  <c r="G40" i="2"/>
  <c r="M148" i="6"/>
  <c r="M376" i="6"/>
  <c r="M377" i="6"/>
  <c r="M163" i="6"/>
  <c r="M15" i="6"/>
  <c r="M330" i="2"/>
  <c r="M78" i="2"/>
  <c r="M107" i="2"/>
  <c r="M109" i="2"/>
  <c r="M116" i="2"/>
  <c r="M126" i="2"/>
  <c r="M84" i="2"/>
  <c r="M80" i="2"/>
  <c r="M77" i="2"/>
  <c r="M83" i="2"/>
  <c r="M72" i="2"/>
  <c r="M70" i="2"/>
  <c r="M119" i="2"/>
  <c r="M122" i="2"/>
  <c r="M67" i="2"/>
  <c r="M81" i="2"/>
  <c r="M79" i="2"/>
  <c r="M89" i="2"/>
  <c r="M111" i="2"/>
  <c r="M66" i="2"/>
  <c r="M69" i="2"/>
  <c r="M88" i="2"/>
  <c r="M99" i="2"/>
  <c r="M114" i="2"/>
  <c r="M74" i="2"/>
  <c r="M125" i="2"/>
  <c r="M76" i="2"/>
  <c r="M93" i="2"/>
  <c r="M65" i="2"/>
  <c r="M121" i="2"/>
  <c r="M73" i="2"/>
  <c r="M75" i="2"/>
  <c r="M112" i="2"/>
  <c r="M91" i="2"/>
  <c r="M68" i="2"/>
  <c r="M124" i="2"/>
  <c r="M97" i="2"/>
  <c r="M104" i="2"/>
  <c r="M94" i="2"/>
  <c r="M90" i="2"/>
  <c r="M86" i="2"/>
  <c r="M71" i="2"/>
  <c r="M123" i="2"/>
  <c r="G28" i="2"/>
  <c r="M224" i="6"/>
  <c r="M381" i="6"/>
  <c r="K34" i="2"/>
  <c r="M283" i="6"/>
  <c r="K23" i="2"/>
  <c r="M229" i="6"/>
  <c r="G44" i="2"/>
  <c r="M217" i="6"/>
  <c r="G59" i="2"/>
  <c r="M226" i="6"/>
  <c r="M218" i="6"/>
  <c r="M43" i="6"/>
  <c r="M333" i="6"/>
  <c r="M358" i="6"/>
  <c r="M179" i="6"/>
  <c r="K40" i="2"/>
  <c r="M19" i="6"/>
  <c r="M298" i="2"/>
  <c r="M296" i="2"/>
  <c r="M292" i="2"/>
  <c r="M291" i="2"/>
  <c r="M297" i="2"/>
  <c r="M294" i="2"/>
  <c r="M301" i="2"/>
  <c r="M300" i="2"/>
  <c r="M382" i="6"/>
  <c r="K52" i="2"/>
  <c r="M85" i="6"/>
  <c r="K56" i="2"/>
  <c r="M267" i="6"/>
  <c r="G23" i="2"/>
  <c r="M257" i="6"/>
  <c r="M174" i="6"/>
  <c r="M392" i="6"/>
  <c r="M240" i="6"/>
  <c r="M44" i="6"/>
  <c r="M309" i="6"/>
  <c r="M349" i="6"/>
  <c r="M164" i="6"/>
  <c r="K61" i="2"/>
  <c r="M343" i="6"/>
  <c r="M34" i="2"/>
  <c r="M25" i="2"/>
  <c r="V189" i="2"/>
  <c r="R177" i="2"/>
  <c r="P210" i="2" s="1"/>
  <c r="R210" i="2" s="1"/>
  <c r="T277" i="2"/>
  <c r="T281" i="2"/>
  <c r="S74" i="2"/>
  <c r="T74" i="2" s="1"/>
  <c r="P58" i="6" s="1"/>
  <c r="S290" i="2"/>
  <c r="Q290" i="2" s="1"/>
  <c r="N391" i="6"/>
  <c r="N380" i="6"/>
  <c r="N360" i="6"/>
  <c r="N385" i="6"/>
  <c r="N366" i="6"/>
  <c r="G32" i="2"/>
  <c r="G41" i="2"/>
  <c r="G36" i="2"/>
  <c r="G43" i="2"/>
  <c r="G58" i="2"/>
  <c r="G55" i="2"/>
  <c r="R165" i="2"/>
  <c r="P111" i="2"/>
  <c r="R167" i="2"/>
  <c r="P34" i="2"/>
  <c r="P37" i="2"/>
  <c r="P85" i="2"/>
  <c r="R171" i="2"/>
  <c r="R181" i="2"/>
  <c r="T168" i="2"/>
  <c r="T170" i="2"/>
  <c r="R118" i="2"/>
  <c r="V108" i="2"/>
  <c r="T280" i="2"/>
  <c r="K37" i="2"/>
  <c r="K43" i="2"/>
  <c r="K41" i="2"/>
  <c r="K33" i="2"/>
  <c r="K29" i="2"/>
  <c r="K27" i="2"/>
  <c r="K62" i="2"/>
  <c r="K58" i="2"/>
  <c r="K59" i="2"/>
  <c r="K22" i="2"/>
  <c r="K36" i="2"/>
  <c r="K46" i="2"/>
  <c r="K57" i="2"/>
  <c r="R180" i="2"/>
  <c r="J299" i="2"/>
  <c r="J297" i="2"/>
  <c r="R169" i="2"/>
  <c r="R173" i="2"/>
  <c r="R179" i="2"/>
  <c r="R176" i="2"/>
  <c r="R182" i="2"/>
  <c r="R174" i="2"/>
  <c r="S69" i="2"/>
  <c r="T69" i="2" s="1"/>
  <c r="P53" i="6" s="1"/>
  <c r="P32" i="2"/>
  <c r="S70" i="2"/>
  <c r="T70" i="2" s="1"/>
  <c r="P54" i="6" s="1"/>
  <c r="R172" i="2"/>
  <c r="P36" i="2"/>
  <c r="M13" i="6"/>
  <c r="M89" i="6"/>
  <c r="M327" i="6"/>
  <c r="M352" i="6"/>
  <c r="M124" i="6"/>
  <c r="M347" i="6"/>
  <c r="M123" i="6"/>
  <c r="M24" i="6"/>
  <c r="M53" i="6"/>
  <c r="M331" i="6"/>
  <c r="M158" i="6"/>
  <c r="M313" i="6"/>
  <c r="M127" i="6"/>
  <c r="M51" i="6"/>
  <c r="M330" i="6"/>
  <c r="M10" i="6"/>
  <c r="M366" i="6"/>
  <c r="M61" i="6"/>
  <c r="M302" i="6"/>
  <c r="M115" i="6"/>
  <c r="M170" i="6"/>
  <c r="M64" i="6"/>
  <c r="M294" i="6"/>
  <c r="L47" i="2"/>
  <c r="L101" i="2"/>
  <c r="L51" i="2"/>
  <c r="L102" i="2"/>
  <c r="L50" i="2"/>
  <c r="L174" i="2"/>
  <c r="L142" i="2"/>
  <c r="L136" i="2"/>
  <c r="L168" i="2"/>
  <c r="L162" i="2"/>
  <c r="L144" i="2"/>
  <c r="L150" i="2"/>
  <c r="L147" i="2"/>
  <c r="L171" i="2"/>
  <c r="L133" i="2"/>
  <c r="L175" i="2"/>
  <c r="L177" i="2"/>
  <c r="L143" i="2"/>
  <c r="L165" i="2"/>
  <c r="L140" i="2"/>
  <c r="L160" i="2"/>
  <c r="L154" i="2"/>
  <c r="L173" i="2"/>
  <c r="L145" i="2"/>
  <c r="L135" i="2"/>
  <c r="L182" i="2"/>
  <c r="L148" i="2"/>
  <c r="L137" i="2"/>
  <c r="L131" i="2"/>
  <c r="L170" i="2"/>
  <c r="L178" i="2"/>
  <c r="L138" i="2"/>
  <c r="L183" i="2"/>
  <c r="L153" i="2"/>
  <c r="L129" i="2"/>
  <c r="L157" i="2"/>
  <c r="L166" i="2"/>
  <c r="L159" i="2"/>
  <c r="L134" i="2"/>
  <c r="L179" i="2"/>
  <c r="L180" i="2"/>
  <c r="L172" i="2"/>
  <c r="L169" i="2"/>
  <c r="L152" i="2"/>
  <c r="L164" i="2"/>
  <c r="L161" i="2"/>
  <c r="L151" i="2"/>
  <c r="L156" i="2"/>
  <c r="L130" i="2"/>
  <c r="L149" i="2"/>
  <c r="L155" i="2"/>
  <c r="L158" i="2"/>
  <c r="L176" i="2"/>
  <c r="L141" i="2"/>
  <c r="L181" i="2"/>
  <c r="L146" i="2"/>
  <c r="L139" i="2"/>
  <c r="L163" i="2"/>
  <c r="L167" i="2"/>
  <c r="L132" i="2"/>
  <c r="L292" i="2"/>
  <c r="L294" i="2"/>
  <c r="L250" i="2"/>
  <c r="L261" i="2"/>
  <c r="L249" i="2"/>
  <c r="L221" i="2"/>
  <c r="L262" i="2"/>
  <c r="L217" i="2"/>
  <c r="L219" i="2"/>
  <c r="L214" i="2"/>
  <c r="L256" i="2"/>
  <c r="L243" i="2"/>
  <c r="L241" i="2"/>
  <c r="L218" i="2"/>
  <c r="L216" i="2"/>
  <c r="L252" i="2"/>
  <c r="L231" i="2"/>
  <c r="L258" i="2"/>
  <c r="L227" i="2"/>
  <c r="L222" i="2"/>
  <c r="L239" i="2"/>
  <c r="L228" i="2"/>
  <c r="L242" i="2"/>
  <c r="L234" i="2"/>
  <c r="L255" i="2"/>
  <c r="L213" i="2"/>
  <c r="L245" i="2"/>
  <c r="L248" i="2"/>
  <c r="L247" i="2"/>
  <c r="L223" i="2"/>
  <c r="L238" i="2"/>
  <c r="L235" i="2"/>
  <c r="L232" i="2"/>
  <c r="L259" i="2"/>
  <c r="L225" i="2"/>
  <c r="L212" i="2"/>
  <c r="L236" i="2"/>
  <c r="L224" i="2"/>
  <c r="L257" i="2"/>
  <c r="L244" i="2"/>
  <c r="L237" i="2"/>
  <c r="L233" i="2"/>
  <c r="L215" i="2"/>
  <c r="L246" i="2"/>
  <c r="L240" i="2"/>
  <c r="L220" i="2"/>
  <c r="L253" i="2"/>
  <c r="L226" i="2"/>
  <c r="L251" i="2"/>
  <c r="L229" i="2"/>
  <c r="L29" i="2"/>
  <c r="L37" i="2"/>
  <c r="L30" i="2"/>
  <c r="L34" i="2"/>
  <c r="L46" i="2"/>
  <c r="L41" i="2"/>
  <c r="L56" i="2"/>
  <c r="L25" i="2"/>
  <c r="L57" i="2"/>
  <c r="L27" i="2"/>
  <c r="L42" i="2"/>
  <c r="L22" i="2"/>
  <c r="L23" i="2"/>
  <c r="L44" i="2"/>
  <c r="L60" i="2"/>
  <c r="L21" i="2"/>
  <c r="L62" i="2"/>
  <c r="L52" i="2"/>
  <c r="L32" i="2"/>
  <c r="L48" i="2"/>
  <c r="L38" i="2"/>
  <c r="L40" i="2"/>
  <c r="L55" i="2"/>
  <c r="L36" i="2"/>
  <c r="L26" i="2"/>
  <c r="L45" i="2"/>
  <c r="L43" i="2"/>
  <c r="L28" i="2"/>
  <c r="L31" i="2"/>
  <c r="L33" i="2"/>
  <c r="L61" i="2"/>
  <c r="L59" i="2"/>
  <c r="L54" i="2"/>
  <c r="L58" i="2"/>
  <c r="L49" i="2"/>
  <c r="L24" i="2"/>
  <c r="L286" i="2"/>
  <c r="L285" i="2"/>
  <c r="L281" i="2"/>
  <c r="L271" i="2"/>
  <c r="L269" i="2"/>
  <c r="L284" i="2"/>
  <c r="L266" i="2"/>
  <c r="L270" i="2"/>
  <c r="L272" i="2"/>
  <c r="L279" i="2"/>
  <c r="L283" i="2"/>
  <c r="L282" i="2"/>
  <c r="L280" i="2"/>
  <c r="L276" i="2"/>
  <c r="L267" i="2"/>
  <c r="L278" i="2"/>
  <c r="L287" i="2"/>
  <c r="L265" i="2"/>
  <c r="L273" i="2"/>
  <c r="L274" i="2"/>
  <c r="L275" i="2"/>
  <c r="L268" i="2"/>
  <c r="L277" i="2"/>
  <c r="L188" i="2"/>
  <c r="L205" i="2"/>
  <c r="L198" i="2"/>
  <c r="L192" i="2"/>
  <c r="L193" i="2"/>
  <c r="L200" i="2"/>
  <c r="L204" i="2"/>
  <c r="L206" i="2"/>
  <c r="L208" i="2"/>
  <c r="L197" i="2"/>
  <c r="L203" i="2"/>
  <c r="L199" i="2"/>
  <c r="L189" i="2"/>
  <c r="L196" i="2"/>
  <c r="L195" i="2"/>
  <c r="L90" i="2"/>
  <c r="L83" i="2"/>
  <c r="L71" i="2"/>
  <c r="L117" i="2"/>
  <c r="L98" i="2"/>
  <c r="L92" i="2"/>
  <c r="L109" i="2"/>
  <c r="I192" i="2"/>
  <c r="I197" i="2"/>
  <c r="Q165" i="2"/>
  <c r="I193" i="2"/>
  <c r="I209" i="2"/>
  <c r="I203" i="2"/>
  <c r="I195" i="2"/>
  <c r="I196" i="2"/>
  <c r="I208" i="2"/>
  <c r="I205" i="2"/>
  <c r="I204" i="2"/>
  <c r="I198" i="2"/>
  <c r="I191" i="2"/>
  <c r="Q171" i="2"/>
  <c r="I199" i="2"/>
  <c r="Q168" i="2"/>
  <c r="I200" i="2"/>
  <c r="I206" i="2"/>
  <c r="I190" i="2"/>
  <c r="I142" i="2"/>
  <c r="I131" i="2"/>
  <c r="I172" i="2"/>
  <c r="I175" i="2"/>
  <c r="I171" i="2"/>
  <c r="I141" i="2"/>
  <c r="I135" i="2"/>
  <c r="I134" i="2"/>
  <c r="I140" i="2"/>
  <c r="I181" i="2"/>
  <c r="I168" i="2"/>
  <c r="I150" i="2"/>
  <c r="I157" i="2"/>
  <c r="I183" i="2"/>
  <c r="I148" i="2"/>
  <c r="I177" i="2"/>
  <c r="I129" i="2"/>
  <c r="I160" i="2"/>
  <c r="I147" i="2"/>
  <c r="I163" i="2"/>
  <c r="I180" i="2"/>
  <c r="I139" i="2"/>
  <c r="I161" i="2"/>
  <c r="I169" i="2"/>
  <c r="I144" i="2"/>
  <c r="I132" i="2"/>
  <c r="I155" i="2"/>
  <c r="I156" i="2"/>
  <c r="I152" i="2"/>
  <c r="I158" i="2"/>
  <c r="I167" i="2"/>
  <c r="I133" i="2"/>
  <c r="I164" i="2"/>
  <c r="I159" i="2"/>
  <c r="I178" i="2"/>
  <c r="I165" i="2"/>
  <c r="I149" i="2"/>
  <c r="I176" i="2"/>
  <c r="I130" i="2"/>
  <c r="I173" i="2"/>
  <c r="I151" i="2"/>
  <c r="I146" i="2"/>
  <c r="I166" i="2"/>
  <c r="I145" i="2"/>
  <c r="I182" i="2"/>
  <c r="I162" i="2"/>
  <c r="I174" i="2"/>
  <c r="I154" i="2"/>
  <c r="I170" i="2"/>
  <c r="I153" i="2"/>
  <c r="I137" i="2"/>
  <c r="I138" i="2"/>
  <c r="I143" i="2"/>
  <c r="I136" i="2"/>
  <c r="I179" i="2"/>
  <c r="I118" i="2"/>
  <c r="I120" i="2"/>
  <c r="I77" i="2"/>
  <c r="I110" i="2"/>
  <c r="I105" i="2"/>
  <c r="I75" i="2"/>
  <c r="I95" i="2"/>
  <c r="I125" i="2"/>
  <c r="I87" i="2"/>
  <c r="I67" i="2"/>
  <c r="I68" i="2"/>
  <c r="I123" i="2"/>
  <c r="I109" i="2"/>
  <c r="I112" i="2"/>
  <c r="I126" i="2"/>
  <c r="I72" i="2"/>
  <c r="I96" i="2"/>
  <c r="I89" i="2"/>
  <c r="I69" i="2"/>
  <c r="S108" i="2"/>
  <c r="I79" i="2"/>
  <c r="I99" i="2"/>
  <c r="I121" i="2"/>
  <c r="I104" i="2"/>
  <c r="I86" i="2"/>
  <c r="I106" i="2"/>
  <c r="I80" i="2"/>
  <c r="I116" i="2"/>
  <c r="I114" i="2"/>
  <c r="I107" i="2"/>
  <c r="I119" i="2"/>
  <c r="I90" i="2"/>
  <c r="I74" i="2"/>
  <c r="I73" i="2"/>
  <c r="I103" i="2"/>
  <c r="O85" i="2"/>
  <c r="I71" i="2"/>
  <c r="I88" i="2"/>
  <c r="I70" i="2"/>
  <c r="I84" i="2"/>
  <c r="I93" i="2"/>
  <c r="I111" i="2"/>
  <c r="O118" i="2"/>
  <c r="I82" i="2"/>
  <c r="I65" i="2"/>
  <c r="I76" i="2"/>
  <c r="I124" i="2"/>
  <c r="I117" i="2"/>
  <c r="I113" i="2"/>
  <c r="I100" i="2"/>
  <c r="I94" i="2"/>
  <c r="I81" i="2"/>
  <c r="Q98" i="2"/>
  <c r="I97" i="2"/>
  <c r="I83" i="2"/>
  <c r="I92" i="2"/>
  <c r="I122" i="2"/>
  <c r="I66" i="2"/>
  <c r="I78" i="2"/>
  <c r="I91" i="2"/>
  <c r="Q94" i="6"/>
  <c r="I50" i="2"/>
  <c r="Q96" i="6"/>
  <c r="I47" i="2"/>
  <c r="Q77" i="6"/>
  <c r="I51" i="2"/>
  <c r="O111" i="2"/>
  <c r="O114" i="2"/>
  <c r="Q41" i="6"/>
  <c r="Q14" i="6"/>
  <c r="I101" i="2"/>
  <c r="I102" i="2"/>
  <c r="Q43" i="6"/>
  <c r="Q34" i="6"/>
  <c r="I239" i="2"/>
  <c r="I227" i="2"/>
  <c r="I216" i="2"/>
  <c r="I257" i="2"/>
  <c r="I237" i="2"/>
  <c r="I213" i="2"/>
  <c r="I260" i="2"/>
  <c r="I247" i="2"/>
  <c r="I235" i="2"/>
  <c r="I238" i="2"/>
  <c r="I233" i="2"/>
  <c r="I255" i="2"/>
  <c r="I262" i="2"/>
  <c r="I248" i="2"/>
  <c r="I229" i="2"/>
  <c r="I241" i="2"/>
  <c r="I234" i="2"/>
  <c r="I217" i="2"/>
  <c r="I246" i="2"/>
  <c r="I236" i="2"/>
  <c r="I261" i="2"/>
  <c r="I244" i="2"/>
  <c r="I251" i="2"/>
  <c r="Q173" i="2"/>
  <c r="I220" i="2"/>
  <c r="I224" i="2"/>
  <c r="I228" i="2"/>
  <c r="I221" i="2"/>
  <c r="I232" i="2"/>
  <c r="I240" i="2"/>
  <c r="I212" i="2"/>
  <c r="I253" i="2"/>
  <c r="I258" i="2"/>
  <c r="I243" i="2"/>
  <c r="I218" i="2"/>
  <c r="I250" i="2"/>
  <c r="Q179" i="2"/>
  <c r="I226" i="2"/>
  <c r="I225" i="2"/>
  <c r="I230" i="2"/>
  <c r="I231" i="2"/>
  <c r="I249" i="2"/>
  <c r="I256" i="2"/>
  <c r="I245" i="2"/>
  <c r="I223" i="2"/>
  <c r="I222" i="2"/>
  <c r="I259" i="2"/>
  <c r="I219" i="2"/>
  <c r="Q180" i="2"/>
  <c r="I252" i="2"/>
  <c r="I254" i="2"/>
  <c r="I215" i="2"/>
  <c r="I242" i="2"/>
  <c r="I214" i="2"/>
  <c r="Q174" i="2"/>
  <c r="T196" i="2" s="1"/>
  <c r="I53" i="2"/>
  <c r="I27" i="2"/>
  <c r="I24" i="2"/>
  <c r="I45" i="2"/>
  <c r="I42" i="2"/>
  <c r="I37" i="2"/>
  <c r="I46" i="2"/>
  <c r="I55" i="2"/>
  <c r="I23" i="2"/>
  <c r="I41" i="2"/>
  <c r="I36" i="2"/>
  <c r="I38" i="2"/>
  <c r="I60" i="2"/>
  <c r="I57" i="2"/>
  <c r="I56" i="2"/>
  <c r="I25" i="2"/>
  <c r="I33" i="2"/>
  <c r="I61" i="2"/>
  <c r="I59" i="2"/>
  <c r="I43" i="2"/>
  <c r="I34" i="2"/>
  <c r="I44" i="2"/>
  <c r="I49" i="2"/>
  <c r="I52" i="2"/>
  <c r="I54" i="2"/>
  <c r="I28" i="2"/>
  <c r="I62" i="2"/>
  <c r="I30" i="2"/>
  <c r="I39" i="2"/>
  <c r="I48" i="2"/>
  <c r="I21" i="2"/>
  <c r="I26" i="2"/>
  <c r="I35" i="2"/>
  <c r="I40" i="2"/>
  <c r="I58" i="2"/>
  <c r="I29" i="2"/>
  <c r="I22" i="2"/>
  <c r="I31" i="2"/>
  <c r="I32" i="2"/>
  <c r="I285" i="2"/>
  <c r="I282" i="2"/>
  <c r="I274" i="2"/>
  <c r="I273" i="2"/>
  <c r="I270" i="2"/>
  <c r="I283" i="2"/>
  <c r="I266" i="2"/>
  <c r="I276" i="2"/>
  <c r="I269" i="2"/>
  <c r="I279" i="2"/>
  <c r="I278" i="2"/>
  <c r="I275" i="2"/>
  <c r="I281" i="2"/>
  <c r="I280" i="2"/>
  <c r="I272" i="2"/>
  <c r="I271" i="2"/>
  <c r="I287" i="2"/>
  <c r="I286" i="2"/>
  <c r="I265" i="2"/>
  <c r="I284" i="2"/>
  <c r="I268" i="2"/>
  <c r="I267" i="2"/>
  <c r="I277" i="2"/>
  <c r="U108" i="2"/>
  <c r="Q36" i="2"/>
  <c r="Q118" i="2"/>
  <c r="Q33" i="2"/>
  <c r="R23" i="2" s="1"/>
  <c r="Q23" i="2" s="1"/>
  <c r="Q34" i="2"/>
  <c r="Q37" i="2"/>
  <c r="Q85" i="2"/>
  <c r="Q32" i="2"/>
  <c r="S171" i="2"/>
  <c r="Q114" i="2"/>
  <c r="S168" i="2"/>
  <c r="S172" i="2"/>
  <c r="S169" i="2"/>
  <c r="S170" i="2"/>
  <c r="S167" i="2"/>
  <c r="S182" i="2"/>
  <c r="S181" i="2"/>
  <c r="Q111" i="2"/>
  <c r="S165" i="2"/>
  <c r="S178" i="2"/>
  <c r="S175" i="2"/>
  <c r="P208" i="2" s="1"/>
  <c r="R208" i="2" s="1"/>
  <c r="S176" i="2"/>
  <c r="S173" i="2"/>
  <c r="S174" i="2"/>
  <c r="K55" i="2"/>
  <c r="K28" i="2"/>
  <c r="G37" i="2"/>
  <c r="G38" i="2"/>
  <c r="G29" i="2"/>
  <c r="G34" i="2"/>
  <c r="G35" i="2"/>
  <c r="F372" i="2"/>
  <c r="F385" i="2"/>
  <c r="F388" i="2"/>
  <c r="M26" i="6"/>
  <c r="F47" i="2"/>
  <c r="M14" i="6"/>
  <c r="M60" i="6"/>
  <c r="H19" i="1"/>
  <c r="G20" i="1"/>
  <c r="H17" i="1"/>
  <c r="G18" i="1"/>
  <c r="G16" i="1"/>
  <c r="H15" i="1"/>
  <c r="K111" i="2"/>
  <c r="K78" i="2"/>
  <c r="K95" i="2"/>
  <c r="K70" i="2"/>
  <c r="K105" i="2"/>
  <c r="K84" i="2"/>
  <c r="K114" i="2"/>
  <c r="K118" i="2"/>
  <c r="K67" i="2"/>
  <c r="K124" i="2"/>
  <c r="K98" i="2"/>
  <c r="K71" i="2"/>
  <c r="K122" i="2"/>
  <c r="K125" i="2"/>
  <c r="K109" i="2"/>
  <c r="K121" i="2"/>
  <c r="K77" i="2"/>
  <c r="K110" i="2"/>
  <c r="K83" i="2"/>
  <c r="K73" i="2"/>
  <c r="K91" i="2"/>
  <c r="K68" i="2"/>
  <c r="K99" i="2"/>
  <c r="K112" i="2"/>
  <c r="K100" i="2"/>
  <c r="K93" i="2"/>
  <c r="K72" i="2"/>
  <c r="K119" i="2"/>
  <c r="K87" i="2"/>
  <c r="K103" i="2"/>
  <c r="K74" i="2"/>
  <c r="K126" i="2"/>
  <c r="K94" i="2"/>
  <c r="K107" i="2"/>
  <c r="K66" i="2"/>
  <c r="K76" i="2"/>
  <c r="K96" i="2"/>
  <c r="K113" i="2"/>
  <c r="K51" i="2"/>
  <c r="K47" i="2"/>
  <c r="K101" i="2"/>
  <c r="K102" i="2"/>
  <c r="K50" i="2"/>
  <c r="K247" i="2"/>
  <c r="K222" i="2"/>
  <c r="K213" i="2"/>
  <c r="K246" i="2"/>
  <c r="K220" i="2"/>
  <c r="K216" i="2"/>
  <c r="K223" i="2"/>
  <c r="K219" i="2"/>
  <c r="K229" i="2"/>
  <c r="S179" i="2"/>
  <c r="K224" i="2"/>
  <c r="K249" i="2"/>
  <c r="K253" i="2"/>
  <c r="K232" i="2"/>
  <c r="K225" i="2"/>
  <c r="K262" i="2"/>
  <c r="K250" i="2"/>
  <c r="K228" i="2"/>
  <c r="K243" i="2"/>
  <c r="K248" i="2"/>
  <c r="K256" i="2"/>
  <c r="S180" i="2"/>
  <c r="K218" i="2"/>
  <c r="K215" i="2"/>
  <c r="K241" i="2"/>
  <c r="K234" i="2"/>
  <c r="K242" i="2"/>
  <c r="K238" i="2"/>
  <c r="K259" i="2"/>
  <c r="K233" i="2"/>
  <c r="K214" i="2"/>
  <c r="K251" i="2"/>
  <c r="K212" i="2"/>
  <c r="K255" i="2"/>
  <c r="K236" i="2"/>
  <c r="K217" i="2"/>
  <c r="K226" i="2"/>
  <c r="K252" i="2"/>
  <c r="K261" i="2"/>
  <c r="K227" i="2"/>
  <c r="K258" i="2"/>
  <c r="K257" i="2"/>
  <c r="K221" i="2"/>
  <c r="K245" i="2"/>
  <c r="K235" i="2"/>
  <c r="K240" i="2"/>
  <c r="K239" i="2"/>
  <c r="K231" i="2"/>
  <c r="K244" i="2"/>
  <c r="K237" i="2"/>
  <c r="K281" i="2"/>
  <c r="K270" i="2"/>
  <c r="K269" i="2"/>
  <c r="K280" i="2"/>
  <c r="K278" i="2"/>
  <c r="K279" i="2"/>
  <c r="K275" i="2"/>
  <c r="K287" i="2"/>
  <c r="K277" i="2"/>
  <c r="K286" i="2"/>
  <c r="K274" i="2"/>
  <c r="K265" i="2"/>
  <c r="K284" i="2"/>
  <c r="K282" i="2"/>
  <c r="K273" i="2"/>
  <c r="K276" i="2"/>
  <c r="K271" i="2"/>
  <c r="K268" i="2"/>
  <c r="K283" i="2"/>
  <c r="K266" i="2"/>
  <c r="K285" i="2"/>
  <c r="K272" i="2"/>
  <c r="K267" i="2"/>
  <c r="K301" i="2"/>
  <c r="K292" i="2"/>
  <c r="K297" i="2"/>
  <c r="K290" i="2"/>
  <c r="K295" i="2"/>
  <c r="K299" i="2"/>
  <c r="K296" i="2"/>
  <c r="K294" i="2"/>
  <c r="K293" i="2"/>
  <c r="K298" i="2"/>
  <c r="K300" i="2"/>
  <c r="K291" i="2"/>
  <c r="K206" i="2"/>
  <c r="K188" i="2"/>
  <c r="K205" i="2"/>
  <c r="K192" i="2"/>
  <c r="K203" i="2"/>
  <c r="K195" i="2"/>
  <c r="K199" i="2"/>
  <c r="K196" i="2"/>
  <c r="K204" i="2"/>
  <c r="K200" i="2"/>
  <c r="K189" i="2"/>
  <c r="K193" i="2"/>
  <c r="K208" i="2"/>
  <c r="K164" i="2"/>
  <c r="K143" i="2"/>
  <c r="K154" i="2"/>
  <c r="K172" i="2"/>
  <c r="K174" i="2"/>
  <c r="K159" i="2"/>
  <c r="K142" i="2"/>
  <c r="K130" i="2"/>
  <c r="K165" i="2"/>
  <c r="K135" i="2"/>
  <c r="K145" i="2"/>
  <c r="K153" i="2"/>
  <c r="K146" i="2"/>
  <c r="K156" i="2"/>
  <c r="K150" i="2"/>
  <c r="K160" i="2"/>
  <c r="K148" i="2"/>
  <c r="K149" i="2"/>
  <c r="K134" i="2"/>
  <c r="K182" i="2"/>
  <c r="K179" i="2"/>
  <c r="K139" i="2"/>
  <c r="K161" i="2"/>
  <c r="K141" i="2"/>
  <c r="K180" i="2"/>
  <c r="K169" i="2"/>
  <c r="K137" i="2"/>
  <c r="K163" i="2"/>
  <c r="K166" i="2"/>
  <c r="K178" i="2"/>
  <c r="K170" i="2"/>
  <c r="K171" i="2"/>
  <c r="K140" i="2"/>
  <c r="K144" i="2"/>
  <c r="K168" i="2"/>
  <c r="K138" i="2"/>
  <c r="K167" i="2"/>
  <c r="K173" i="2"/>
  <c r="K157" i="2"/>
  <c r="K175" i="2"/>
  <c r="K131" i="2"/>
  <c r="K181" i="2"/>
  <c r="K155" i="2"/>
  <c r="K177" i="2"/>
  <c r="K129" i="2"/>
  <c r="K133" i="2"/>
  <c r="K136" i="2"/>
  <c r="K162" i="2"/>
  <c r="K132" i="2"/>
  <c r="K152" i="2"/>
  <c r="K158" i="2"/>
  <c r="K176" i="2"/>
  <c r="K147" i="2"/>
  <c r="K151" i="2"/>
  <c r="K183" i="2"/>
  <c r="G293" i="2"/>
  <c r="G291" i="2"/>
  <c r="G294" i="2"/>
  <c r="G300" i="2"/>
  <c r="G297" i="2"/>
  <c r="G301" i="2"/>
  <c r="G296" i="2"/>
  <c r="G298" i="2"/>
  <c r="G290" i="2"/>
  <c r="G292" i="2"/>
  <c r="G295" i="2"/>
  <c r="G299" i="2"/>
  <c r="N356" i="6"/>
  <c r="N370" i="6"/>
  <c r="N324" i="6"/>
  <c r="N351" i="6"/>
  <c r="N313" i="6"/>
  <c r="N292" i="6"/>
  <c r="N19" i="6"/>
  <c r="N133" i="6"/>
  <c r="N123" i="6"/>
  <c r="N202" i="6"/>
  <c r="N241" i="6"/>
  <c r="N75" i="6"/>
  <c r="G47" i="2"/>
  <c r="N65" i="6"/>
  <c r="N226" i="6"/>
  <c r="N224" i="6"/>
  <c r="N253" i="6"/>
  <c r="N207" i="6"/>
  <c r="N214" i="6"/>
  <c r="N213" i="6"/>
  <c r="N272" i="6"/>
  <c r="N231" i="6"/>
  <c r="N327" i="6"/>
  <c r="G101" i="2"/>
  <c r="N251" i="6"/>
  <c r="N317" i="6"/>
  <c r="N261" i="6"/>
  <c r="N367" i="6"/>
  <c r="N361" i="6"/>
  <c r="N340" i="6"/>
  <c r="N342" i="6"/>
  <c r="N295" i="6"/>
  <c r="N303" i="6"/>
  <c r="N40" i="6"/>
  <c r="N23" i="6"/>
  <c r="N120" i="6"/>
  <c r="N168" i="6"/>
  <c r="N244" i="6"/>
  <c r="G102" i="2"/>
  <c r="N93" i="6"/>
  <c r="N89" i="6"/>
  <c r="N242" i="6"/>
  <c r="N198" i="6"/>
  <c r="N211" i="6"/>
  <c r="N130" i="6"/>
  <c r="N134" i="6"/>
  <c r="N140" i="6"/>
  <c r="N219" i="6"/>
  <c r="N227" i="6"/>
  <c r="N383" i="6"/>
  <c r="N369" i="6"/>
  <c r="N321" i="6"/>
  <c r="N332" i="6"/>
  <c r="N297" i="6"/>
  <c r="N314" i="6"/>
  <c r="N22" i="6"/>
  <c r="N3" i="6"/>
  <c r="N143" i="6"/>
  <c r="N180" i="6"/>
  <c r="N255" i="6"/>
  <c r="N238" i="6"/>
  <c r="N109" i="6"/>
  <c r="N229" i="6"/>
  <c r="N236" i="6"/>
  <c r="N122" i="6"/>
  <c r="N126" i="6"/>
  <c r="N167" i="6"/>
  <c r="N153" i="6"/>
  <c r="N169" i="6"/>
  <c r="N144" i="6"/>
  <c r="N206" i="6"/>
  <c r="N212" i="6"/>
  <c r="N378" i="6"/>
  <c r="N371" i="6"/>
  <c r="N337" i="6"/>
  <c r="N348" i="6"/>
  <c r="N309" i="6"/>
  <c r="N290" i="6"/>
  <c r="N62" i="6"/>
  <c r="N26" i="6"/>
  <c r="N27" i="6"/>
  <c r="N127" i="6"/>
  <c r="N208" i="6"/>
  <c r="N232" i="6"/>
  <c r="N235" i="6"/>
  <c r="N248" i="6"/>
  <c r="N203" i="6"/>
  <c r="N173" i="6"/>
  <c r="N182" i="6"/>
  <c r="N166" i="6"/>
  <c r="N175" i="6"/>
  <c r="N158" i="6"/>
  <c r="N181" i="6"/>
  <c r="I188" i="2"/>
  <c r="N164" i="6"/>
  <c r="N384" i="6"/>
  <c r="N364" i="6"/>
  <c r="N353" i="6"/>
  <c r="N329" i="6"/>
  <c r="N291" i="6"/>
  <c r="N286" i="6"/>
  <c r="N110" i="6"/>
  <c r="N55" i="6"/>
  <c r="N5" i="6"/>
  <c r="N124" i="6"/>
  <c r="N197" i="6"/>
  <c r="N269" i="6"/>
  <c r="N223" i="6"/>
  <c r="N266" i="6"/>
  <c r="N118" i="6"/>
  <c r="N177" i="6"/>
  <c r="N170" i="6"/>
  <c r="N139" i="6"/>
  <c r="N179" i="6"/>
  <c r="N117" i="6"/>
  <c r="N163" i="6"/>
  <c r="N148" i="6"/>
  <c r="N338" i="6"/>
  <c r="N119" i="6"/>
  <c r="N99" i="6"/>
  <c r="N263" i="6"/>
  <c r="N365" i="6"/>
  <c r="N247" i="6"/>
  <c r="N374" i="6"/>
  <c r="N381" i="6"/>
  <c r="N334" i="6"/>
  <c r="N345" i="6"/>
  <c r="N302" i="6"/>
  <c r="N230" i="6"/>
  <c r="N108" i="6"/>
  <c r="N91" i="6"/>
  <c r="N30" i="6"/>
  <c r="N147" i="6"/>
  <c r="N176" i="6"/>
  <c r="N200" i="6"/>
  <c r="N262" i="6"/>
  <c r="N215" i="6"/>
  <c r="N165" i="6"/>
  <c r="N154" i="6"/>
  <c r="N174" i="6"/>
  <c r="N44" i="6"/>
  <c r="N43" i="6"/>
  <c r="N7" i="6"/>
  <c r="N121" i="6"/>
  <c r="N178" i="6"/>
  <c r="G51" i="2"/>
  <c r="N265" i="6"/>
  <c r="N56" i="6"/>
  <c r="N234" i="6"/>
  <c r="N387" i="6"/>
  <c r="N382" i="6"/>
  <c r="N350" i="6"/>
  <c r="N326" i="6"/>
  <c r="N306" i="6"/>
  <c r="N233" i="6"/>
  <c r="N87" i="6"/>
  <c r="N107" i="6"/>
  <c r="N59" i="6"/>
  <c r="N31" i="6"/>
  <c r="N159" i="6"/>
  <c r="N210" i="6"/>
  <c r="N209" i="6"/>
  <c r="N114" i="6"/>
  <c r="N161" i="6"/>
  <c r="N28" i="6"/>
  <c r="N36" i="6"/>
  <c r="N41" i="6"/>
  <c r="N4" i="6"/>
  <c r="N12" i="6"/>
  <c r="N11" i="6"/>
  <c r="N113" i="6"/>
  <c r="N284" i="6"/>
  <c r="N357" i="6"/>
  <c r="N372" i="6"/>
  <c r="N323" i="6"/>
  <c r="N347" i="6"/>
  <c r="N293" i="6"/>
  <c r="N316" i="6"/>
  <c r="N228" i="6"/>
  <c r="N275" i="6"/>
  <c r="N94" i="6"/>
  <c r="G50" i="2"/>
  <c r="N9" i="6"/>
  <c r="N131" i="6"/>
  <c r="N171" i="6"/>
  <c r="N205" i="6"/>
  <c r="N157" i="6"/>
  <c r="N150" i="6"/>
  <c r="N33" i="6"/>
  <c r="N37" i="6"/>
  <c r="N57" i="6"/>
  <c r="N6" i="6"/>
  <c r="N10" i="6"/>
  <c r="N20" i="6"/>
  <c r="N125" i="6"/>
  <c r="N116" i="6"/>
  <c r="N373" i="6"/>
  <c r="N336" i="6"/>
  <c r="N328" i="6"/>
  <c r="N304" i="6"/>
  <c r="N294" i="6"/>
  <c r="N250" i="6"/>
  <c r="N256" i="6"/>
  <c r="N279" i="6"/>
  <c r="N66" i="6"/>
  <c r="N34" i="6"/>
  <c r="N128" i="6"/>
  <c r="N183" i="6"/>
  <c r="N172" i="6"/>
  <c r="N149" i="6"/>
  <c r="N24" i="6"/>
  <c r="N49" i="6"/>
  <c r="N53" i="6"/>
  <c r="N88" i="6"/>
  <c r="N61" i="6"/>
  <c r="N67" i="6"/>
  <c r="N14" i="6"/>
  <c r="N15" i="6"/>
  <c r="N156" i="6"/>
  <c r="N245" i="6"/>
  <c r="N104" i="6"/>
  <c r="N289" i="6"/>
  <c r="N77" i="6"/>
  <c r="N252" i="6"/>
  <c r="N379" i="6"/>
  <c r="N352" i="6"/>
  <c r="N344" i="6"/>
  <c r="N315" i="6"/>
  <c r="N305" i="6"/>
  <c r="N216" i="6"/>
  <c r="N259" i="6"/>
  <c r="N267" i="6"/>
  <c r="N70" i="6"/>
  <c r="N52" i="6"/>
  <c r="N151" i="6"/>
  <c r="N135" i="6"/>
  <c r="N145" i="6"/>
  <c r="N146" i="6"/>
  <c r="N29" i="6"/>
  <c r="N64" i="6"/>
  <c r="N100" i="6"/>
  <c r="N69" i="6"/>
  <c r="N95" i="6"/>
  <c r="N71" i="6"/>
  <c r="N54" i="6"/>
  <c r="N32" i="6"/>
  <c r="N390" i="6"/>
  <c r="N349" i="6"/>
  <c r="N320" i="6"/>
  <c r="N307" i="6"/>
  <c r="N308" i="6"/>
  <c r="N201" i="6"/>
  <c r="N225" i="6"/>
  <c r="N268" i="6"/>
  <c r="N78" i="6"/>
  <c r="Q45" i="2"/>
  <c r="N35" i="6"/>
  <c r="N132" i="6"/>
  <c r="N141" i="6"/>
  <c r="N16" i="6"/>
  <c r="N63" i="6"/>
  <c r="N82" i="6"/>
  <c r="N98" i="6"/>
  <c r="N97" i="6"/>
  <c r="N85" i="6"/>
  <c r="N83" i="6"/>
  <c r="N81" i="6"/>
  <c r="N18" i="6"/>
  <c r="N310" i="6"/>
  <c r="N162" i="6"/>
  <c r="N51" i="6"/>
  <c r="N258" i="6"/>
  <c r="N270" i="6"/>
  <c r="N375" i="6"/>
  <c r="N333" i="6"/>
  <c r="N325" i="6"/>
  <c r="N298" i="6"/>
  <c r="N312" i="6"/>
  <c r="I189" i="2"/>
  <c r="N204" i="6"/>
  <c r="N222" i="6"/>
  <c r="N283" i="6"/>
  <c r="N86" i="6"/>
  <c r="N13" i="6"/>
  <c r="N155" i="6"/>
  <c r="N142" i="6"/>
  <c r="N25" i="6"/>
  <c r="N73" i="6"/>
  <c r="N79" i="6"/>
  <c r="N74" i="6"/>
  <c r="Q67" i="6"/>
  <c r="N80" i="6"/>
  <c r="N72" i="6"/>
  <c r="N92" i="6"/>
  <c r="N58" i="6"/>
  <c r="N311" i="6"/>
  <c r="N249" i="6"/>
  <c r="N237" i="6"/>
  <c r="N343" i="6"/>
  <c r="N68" i="6"/>
  <c r="N257" i="6"/>
  <c r="N386" i="6"/>
  <c r="N330" i="6"/>
  <c r="N341" i="6"/>
  <c r="N296" i="6"/>
  <c r="N301" i="6"/>
  <c r="N152" i="6"/>
  <c r="N217" i="6"/>
  <c r="N199" i="6"/>
  <c r="N264" i="6"/>
  <c r="N90" i="6"/>
  <c r="N38" i="6"/>
  <c r="N39" i="6"/>
  <c r="N8" i="6"/>
  <c r="N60" i="6"/>
  <c r="N84" i="6"/>
  <c r="N105" i="6"/>
  <c r="N285" i="6"/>
  <c r="N276" i="6"/>
  <c r="N280" i="6"/>
  <c r="N278" i="6"/>
  <c r="N106" i="6"/>
  <c r="N76" i="6"/>
  <c r="N363" i="6"/>
  <c r="N42" i="6"/>
  <c r="N243" i="6"/>
  <c r="N335" i="6"/>
  <c r="N96" i="6"/>
  <c r="N240" i="6"/>
  <c r="N388" i="6"/>
  <c r="N346" i="6"/>
  <c r="N322" i="6"/>
  <c r="N299" i="6"/>
  <c r="N300" i="6"/>
  <c r="N115" i="6"/>
  <c r="N160" i="6"/>
  <c r="N218" i="6"/>
  <c r="N260" i="6"/>
  <c r="N101" i="6"/>
  <c r="N50" i="6"/>
  <c r="N17" i="6"/>
  <c r="N21" i="6"/>
  <c r="N103" i="6"/>
  <c r="N277" i="6"/>
  <c r="N281" i="6"/>
  <c r="N254" i="6"/>
  <c r="N271" i="6"/>
  <c r="N239" i="6"/>
  <c r="N246" i="6"/>
  <c r="N282" i="6"/>
  <c r="N102" i="6"/>
  <c r="N129" i="6"/>
  <c r="G116" i="2"/>
  <c r="G111" i="2"/>
  <c r="G112" i="2"/>
  <c r="G105" i="2"/>
  <c r="G107" i="2"/>
  <c r="G117" i="2"/>
  <c r="G85" i="2"/>
  <c r="O98" i="2"/>
  <c r="G86" i="2"/>
  <c r="G123" i="2"/>
  <c r="G99" i="2"/>
  <c r="G103" i="2"/>
  <c r="G91" i="2"/>
  <c r="G72" i="2"/>
  <c r="G92" i="2"/>
  <c r="G110" i="2"/>
  <c r="G69" i="2"/>
  <c r="G82" i="2"/>
  <c r="G113" i="2"/>
  <c r="G95" i="2"/>
  <c r="G89" i="2"/>
  <c r="G120" i="2"/>
  <c r="G68" i="2"/>
  <c r="G97" i="2"/>
  <c r="G121" i="2"/>
  <c r="G106" i="2"/>
  <c r="G125" i="2"/>
  <c r="G84" i="2"/>
  <c r="G76" i="2"/>
  <c r="G109" i="2"/>
  <c r="G118" i="2"/>
  <c r="G80" i="2"/>
  <c r="G81" i="2"/>
  <c r="G100" i="2"/>
  <c r="G119" i="2"/>
  <c r="G77" i="2"/>
  <c r="G83" i="2"/>
  <c r="G75" i="2"/>
  <c r="G71" i="2"/>
  <c r="G87" i="2"/>
  <c r="G104" i="2"/>
  <c r="G126" i="2"/>
  <c r="G65" i="2"/>
  <c r="G94" i="2"/>
  <c r="G114" i="2"/>
  <c r="G78" i="2"/>
  <c r="G96" i="2"/>
  <c r="G79" i="2"/>
  <c r="G73" i="2"/>
  <c r="G74" i="2"/>
  <c r="G115" i="2"/>
  <c r="G70" i="2"/>
  <c r="G93" i="2"/>
  <c r="Q108" i="2"/>
  <c r="G88" i="2"/>
  <c r="G90" i="2"/>
  <c r="G122" i="2"/>
  <c r="G66" i="2"/>
  <c r="G124" i="2"/>
  <c r="G67" i="2"/>
  <c r="G240" i="2"/>
  <c r="G246" i="2"/>
  <c r="G233" i="2"/>
  <c r="G253" i="2"/>
  <c r="G219" i="2"/>
  <c r="G262" i="2"/>
  <c r="G229" i="2"/>
  <c r="G257" i="2"/>
  <c r="G261" i="2"/>
  <c r="G249" i="2"/>
  <c r="G218" i="2"/>
  <c r="G237" i="2"/>
  <c r="G230" i="2"/>
  <c r="G212" i="2"/>
  <c r="G245" i="2"/>
  <c r="G227" i="2"/>
  <c r="G258" i="2"/>
  <c r="G238" i="2"/>
  <c r="G247" i="2"/>
  <c r="G228" i="2"/>
  <c r="G215" i="2"/>
  <c r="G242" i="2"/>
  <c r="G250" i="2"/>
  <c r="G225" i="2"/>
  <c r="G235" i="2"/>
  <c r="G259" i="2"/>
  <c r="G222" i="2"/>
  <c r="G260" i="2"/>
  <c r="G223" i="2"/>
  <c r="G254" i="2"/>
  <c r="G226" i="2"/>
  <c r="G244" i="2"/>
  <c r="G213" i="2"/>
  <c r="G252" i="2"/>
  <c r="G243" i="2"/>
  <c r="G241" i="2"/>
  <c r="G220" i="2"/>
  <c r="G224" i="2"/>
  <c r="G232" i="2"/>
  <c r="G255" i="2"/>
  <c r="G217" i="2"/>
  <c r="G251" i="2"/>
  <c r="G236" i="2"/>
  <c r="G214" i="2"/>
  <c r="G221" i="2"/>
  <c r="G216" i="2"/>
  <c r="G256" i="2"/>
  <c r="G234" i="2"/>
  <c r="G239" i="2"/>
  <c r="G231" i="2"/>
  <c r="G248" i="2"/>
  <c r="G175" i="2"/>
  <c r="G142" i="2"/>
  <c r="G141" i="2"/>
  <c r="G165" i="2"/>
  <c r="G151" i="2"/>
  <c r="G153" i="2"/>
  <c r="G171" i="2"/>
  <c r="G163" i="2"/>
  <c r="G159" i="2"/>
  <c r="G169" i="2"/>
  <c r="G136" i="2"/>
  <c r="G164" i="2"/>
  <c r="G150" i="2"/>
  <c r="G182" i="2"/>
  <c r="G183" i="2"/>
  <c r="G147" i="2"/>
  <c r="G132" i="2"/>
  <c r="G134" i="2"/>
  <c r="G168" i="2"/>
  <c r="G154" i="2"/>
  <c r="G157" i="2"/>
  <c r="G173" i="2"/>
  <c r="G160" i="2"/>
  <c r="G144" i="2"/>
  <c r="G152" i="2"/>
  <c r="G179" i="2"/>
  <c r="G149" i="2"/>
  <c r="G156" i="2"/>
  <c r="G146" i="2"/>
  <c r="G176" i="2"/>
  <c r="G158" i="2"/>
  <c r="G137" i="2"/>
  <c r="G172" i="2"/>
  <c r="G155" i="2"/>
  <c r="G129" i="2"/>
  <c r="G181" i="2"/>
  <c r="G162" i="2"/>
  <c r="G133" i="2"/>
  <c r="G161" i="2"/>
  <c r="G148" i="2"/>
  <c r="G138" i="2"/>
  <c r="G166" i="2"/>
  <c r="G167" i="2"/>
  <c r="G180" i="2"/>
  <c r="G139" i="2"/>
  <c r="G143" i="2"/>
  <c r="G177" i="2"/>
  <c r="G174" i="2"/>
  <c r="G178" i="2"/>
  <c r="G145" i="2"/>
  <c r="G135" i="2"/>
  <c r="G131" i="2"/>
  <c r="G130" i="2"/>
  <c r="G140" i="2"/>
  <c r="G170" i="2"/>
  <c r="G274" i="2"/>
  <c r="G277" i="2"/>
  <c r="G270" i="2"/>
  <c r="G284" i="2"/>
  <c r="P270" i="2"/>
  <c r="G267" i="2"/>
  <c r="G273" i="2"/>
  <c r="G283" i="2"/>
  <c r="G265" i="2"/>
  <c r="G285" i="2"/>
  <c r="G275" i="2"/>
  <c r="G269" i="2"/>
  <c r="G279" i="2"/>
  <c r="G280" i="2"/>
  <c r="G278" i="2"/>
  <c r="G282" i="2"/>
  <c r="G287" i="2"/>
  <c r="G271" i="2"/>
  <c r="P200" i="6"/>
  <c r="G272" i="2"/>
  <c r="G266" i="2"/>
  <c r="G286" i="2"/>
  <c r="P205" i="6"/>
  <c r="G268" i="2"/>
  <c r="G276" i="2"/>
  <c r="G281" i="2"/>
  <c r="G56" i="2"/>
  <c r="G52" i="2"/>
  <c r="G31" i="2"/>
  <c r="G33" i="2"/>
  <c r="G61" i="2"/>
  <c r="G48" i="2"/>
  <c r="G391" i="2"/>
  <c r="G395" i="2"/>
  <c r="G407" i="2"/>
  <c r="G341" i="2"/>
  <c r="G364" i="2"/>
  <c r="G388" i="2"/>
  <c r="G385" i="2"/>
  <c r="G387" i="2"/>
  <c r="G356" i="2"/>
  <c r="G360" i="2"/>
  <c r="G377" i="2"/>
  <c r="G381" i="2"/>
  <c r="G361" i="2"/>
  <c r="G351" i="2"/>
  <c r="G383" i="2"/>
  <c r="G374" i="2"/>
  <c r="G348" i="2"/>
  <c r="G358" i="2"/>
  <c r="G386" i="2"/>
  <c r="G371" i="2"/>
  <c r="G337" i="2"/>
  <c r="G342" i="2"/>
  <c r="G404" i="2"/>
  <c r="G403" i="2"/>
  <c r="G405" i="2"/>
  <c r="G367" i="2"/>
  <c r="G349" i="2"/>
  <c r="G362" i="2"/>
  <c r="G394" i="2"/>
  <c r="G350" i="2"/>
  <c r="G357" i="2"/>
  <c r="G372" i="2"/>
  <c r="G392" i="2"/>
  <c r="G354" i="2"/>
  <c r="G355" i="2"/>
  <c r="G340" i="2"/>
  <c r="G384" i="2"/>
  <c r="G397" i="2"/>
  <c r="G338" i="2"/>
  <c r="G339" i="2"/>
  <c r="G399" i="2"/>
  <c r="G389" i="2"/>
  <c r="G365" i="2"/>
  <c r="G346" i="2"/>
  <c r="G376" i="2"/>
  <c r="G344" i="2"/>
  <c r="G393" i="2"/>
  <c r="G402" i="2"/>
  <c r="G352" i="2"/>
  <c r="G368" i="2"/>
  <c r="G379" i="2"/>
  <c r="G373" i="2"/>
  <c r="G336" i="2"/>
  <c r="G366" i="2"/>
  <c r="G390" i="2"/>
  <c r="G345" i="2"/>
  <c r="G396" i="2"/>
  <c r="G375" i="2"/>
  <c r="G359" i="2"/>
  <c r="G353" i="2"/>
  <c r="G398" i="2"/>
  <c r="G406" i="2"/>
  <c r="G378" i="2"/>
  <c r="G343" i="2"/>
  <c r="G335" i="2"/>
  <c r="G401" i="2"/>
  <c r="G382" i="2"/>
  <c r="G400" i="2"/>
  <c r="G380" i="2"/>
  <c r="G363" i="2"/>
  <c r="G347" i="2"/>
  <c r="G203" i="2"/>
  <c r="G204" i="2"/>
  <c r="G191" i="2"/>
  <c r="G198" i="2"/>
  <c r="G201" i="2"/>
  <c r="G207" i="2"/>
  <c r="G193" i="2"/>
  <c r="G206" i="2"/>
  <c r="G192" i="2"/>
  <c r="G205" i="2"/>
  <c r="G187" i="2"/>
  <c r="G190" i="2"/>
  <c r="G200" i="2"/>
  <c r="G202" i="2"/>
  <c r="G189" i="2"/>
  <c r="G188" i="2"/>
  <c r="G196" i="2"/>
  <c r="G208" i="2"/>
  <c r="G194" i="2"/>
  <c r="G199" i="2"/>
  <c r="G195" i="2"/>
  <c r="G209" i="2"/>
  <c r="G197" i="2"/>
  <c r="G313" i="2"/>
  <c r="G306" i="2"/>
  <c r="G322" i="2"/>
  <c r="G326" i="2"/>
  <c r="G309" i="2"/>
  <c r="G317" i="2"/>
  <c r="G311" i="2"/>
  <c r="G328" i="2"/>
  <c r="G316" i="2"/>
  <c r="G325" i="2"/>
  <c r="G310" i="2"/>
  <c r="G305" i="2"/>
  <c r="G320" i="2"/>
  <c r="G307" i="2"/>
  <c r="G331" i="2"/>
  <c r="G314" i="2"/>
  <c r="G323" i="2"/>
  <c r="G321" i="2"/>
  <c r="G330" i="2"/>
  <c r="G308" i="2"/>
  <c r="G324" i="2"/>
  <c r="G332" i="2"/>
  <c r="G327" i="2"/>
  <c r="G315" i="2"/>
  <c r="G312" i="2"/>
  <c r="G304" i="2"/>
  <c r="G329" i="2"/>
  <c r="G318" i="2"/>
  <c r="G319" i="2"/>
  <c r="M84" i="6"/>
  <c r="M171" i="6"/>
  <c r="M388" i="6"/>
  <c r="M72" i="6"/>
  <c r="M325" i="6"/>
  <c r="M37" i="6"/>
  <c r="M18" i="6"/>
  <c r="M82" i="6"/>
  <c r="M315" i="6"/>
  <c r="M166" i="6"/>
  <c r="M55" i="6"/>
  <c r="M188" i="6"/>
  <c r="M20" i="6"/>
  <c r="M33" i="6"/>
  <c r="M28" i="6"/>
  <c r="M167" i="6"/>
  <c r="M62" i="6"/>
  <c r="M308" i="6"/>
  <c r="M6" i="6"/>
  <c r="M34" i="6"/>
  <c r="M264" i="6"/>
  <c r="M57" i="6"/>
  <c r="M150" i="6"/>
  <c r="M63" i="6"/>
  <c r="M346" i="6"/>
  <c r="M56" i="6"/>
  <c r="M27" i="6"/>
  <c r="M278" i="6"/>
  <c r="M42" i="6"/>
  <c r="M234" i="6"/>
  <c r="M22" i="6"/>
  <c r="M320" i="6"/>
  <c r="M35" i="6"/>
  <c r="M58" i="6"/>
  <c r="M286" i="6"/>
  <c r="M222" i="6"/>
  <c r="M181" i="6"/>
  <c r="M159" i="6"/>
  <c r="M187" i="6"/>
  <c r="M21" i="6"/>
  <c r="M38" i="6"/>
  <c r="M284" i="6"/>
  <c r="M253" i="6"/>
  <c r="M149" i="6"/>
  <c r="M305" i="6"/>
  <c r="M4" i="6"/>
  <c r="M183" i="6"/>
  <c r="M277" i="6"/>
  <c r="M387" i="6"/>
  <c r="M70" i="6"/>
  <c r="M293" i="6"/>
  <c r="M139" i="6"/>
  <c r="M108" i="6"/>
  <c r="M101" i="6"/>
  <c r="M364" i="6"/>
  <c r="M92" i="6"/>
  <c r="M36" i="6"/>
  <c r="M94" i="6"/>
  <c r="M71" i="6"/>
  <c r="M69" i="6"/>
  <c r="M7" i="6"/>
  <c r="M68" i="6"/>
  <c r="M386" i="6"/>
  <c r="M107" i="6"/>
  <c r="M105" i="6"/>
  <c r="M11" i="6"/>
  <c r="M32" i="6"/>
  <c r="M97" i="6"/>
  <c r="M371" i="6"/>
  <c r="M103" i="6"/>
  <c r="M324" i="6"/>
  <c r="J95" i="2"/>
  <c r="J80" i="2"/>
  <c r="J122" i="2"/>
  <c r="J86" i="2"/>
  <c r="J71" i="2"/>
  <c r="J76" i="2"/>
  <c r="J118" i="2"/>
  <c r="J96" i="2"/>
  <c r="J75" i="2"/>
  <c r="J89" i="2"/>
  <c r="J94" i="2"/>
  <c r="J66" i="2"/>
  <c r="J92" i="2"/>
  <c r="J70" i="2"/>
  <c r="J121" i="2"/>
  <c r="J84" i="2"/>
  <c r="J120" i="2"/>
  <c r="J87" i="2"/>
  <c r="J114" i="2"/>
  <c r="J77" i="2"/>
  <c r="J106" i="2"/>
  <c r="J125" i="2"/>
  <c r="J112" i="2"/>
  <c r="J69" i="2"/>
  <c r="T108" i="2"/>
  <c r="P118" i="2"/>
  <c r="J73" i="2"/>
  <c r="J72" i="2"/>
  <c r="J124" i="2"/>
  <c r="J82" i="2"/>
  <c r="J100" i="2"/>
  <c r="J103" i="2"/>
  <c r="J99" i="2"/>
  <c r="J67" i="2"/>
  <c r="J74" i="2"/>
  <c r="J90" i="2"/>
  <c r="J83" i="2"/>
  <c r="J104" i="2"/>
  <c r="J68" i="2"/>
  <c r="J78" i="2"/>
  <c r="J65" i="2"/>
  <c r="J107" i="2"/>
  <c r="J110" i="2"/>
  <c r="J93" i="2"/>
  <c r="J117" i="2"/>
  <c r="J119" i="2"/>
  <c r="J116" i="2"/>
  <c r="J81" i="2"/>
  <c r="J91" i="2"/>
  <c r="J126" i="2"/>
  <c r="J97" i="2"/>
  <c r="J123" i="2"/>
  <c r="J105" i="2"/>
  <c r="J113" i="2"/>
  <c r="J88" i="2"/>
  <c r="J79" i="2"/>
  <c r="J98" i="2"/>
  <c r="J111" i="2"/>
  <c r="J109" i="2"/>
  <c r="J406" i="2"/>
  <c r="J383" i="2"/>
  <c r="J350" i="2"/>
  <c r="J347" i="2"/>
  <c r="J402" i="2"/>
  <c r="J404" i="2"/>
  <c r="J364" i="2"/>
  <c r="J357" i="2"/>
  <c r="J407" i="2"/>
  <c r="J382" i="2"/>
  <c r="J341" i="2"/>
  <c r="J351" i="2"/>
  <c r="J373" i="2"/>
  <c r="J381" i="2"/>
  <c r="J375" i="2"/>
  <c r="J343" i="2"/>
  <c r="J335" i="2"/>
  <c r="J405" i="2"/>
  <c r="J401" i="2"/>
  <c r="J361" i="2"/>
  <c r="J358" i="2"/>
  <c r="J372" i="2"/>
  <c r="J400" i="2"/>
  <c r="J368" i="2"/>
  <c r="J356" i="2"/>
  <c r="J393" i="2"/>
  <c r="J376" i="2"/>
  <c r="J391" i="2"/>
  <c r="J348" i="2"/>
  <c r="J342" i="2"/>
  <c r="J360" i="2"/>
  <c r="J403" i="2"/>
  <c r="J362" i="2"/>
  <c r="J377" i="2"/>
  <c r="J363" i="2"/>
  <c r="J380" i="2"/>
  <c r="J390" i="2"/>
  <c r="J355" i="2"/>
  <c r="J378" i="2"/>
  <c r="J344" i="2"/>
  <c r="J394" i="2"/>
  <c r="J392" i="2"/>
  <c r="J385" i="2"/>
  <c r="J339" i="2"/>
  <c r="J349" i="2"/>
  <c r="J397" i="2"/>
  <c r="J379" i="2"/>
  <c r="J354" i="2"/>
  <c r="J367" i="2"/>
  <c r="J389" i="2"/>
  <c r="J346" i="2"/>
  <c r="J399" i="2"/>
  <c r="J386" i="2"/>
  <c r="J396" i="2"/>
  <c r="J371" i="2"/>
  <c r="J365" i="2"/>
  <c r="J345" i="2"/>
  <c r="J340" i="2"/>
  <c r="J366" i="2"/>
  <c r="J337" i="2"/>
  <c r="J388" i="2"/>
  <c r="J398" i="2"/>
  <c r="J352" i="2"/>
  <c r="J338" i="2"/>
  <c r="J387" i="2"/>
  <c r="J374" i="2"/>
  <c r="J395" i="2"/>
  <c r="J336" i="2"/>
  <c r="J353" i="2"/>
  <c r="J384" i="2"/>
  <c r="J359" i="2"/>
  <c r="R170" i="2"/>
  <c r="P149" i="6"/>
  <c r="Q65" i="6"/>
  <c r="Q123" i="6"/>
  <c r="P164" i="6"/>
  <c r="P109" i="6"/>
  <c r="P152" i="6"/>
  <c r="P73" i="6"/>
  <c r="Q98" i="6"/>
  <c r="Q179" i="6"/>
  <c r="Q124" i="6"/>
  <c r="Q103" i="6"/>
  <c r="Q293" i="6"/>
  <c r="Q226" i="6"/>
  <c r="Q61" i="6"/>
  <c r="Q18" i="6"/>
  <c r="P236" i="6"/>
  <c r="Q80" i="6"/>
  <c r="P126" i="6"/>
  <c r="Q233" i="6"/>
  <c r="Q146" i="6"/>
  <c r="P252" i="6"/>
  <c r="Q263" i="6"/>
  <c r="P5" i="6"/>
  <c r="Q240" i="6"/>
  <c r="P316" i="6"/>
  <c r="P281" i="6"/>
  <c r="P307" i="6"/>
  <c r="O2" i="2"/>
  <c r="P216" i="6"/>
  <c r="Q55" i="6"/>
  <c r="P380" i="6"/>
  <c r="P377" i="6"/>
  <c r="P343" i="6"/>
  <c r="P332" i="6"/>
  <c r="P356" i="6"/>
  <c r="P330" i="6"/>
  <c r="Q153" i="6"/>
  <c r="R168" i="2"/>
  <c r="P279" i="6"/>
  <c r="P66" i="6"/>
  <c r="Q171" i="6"/>
  <c r="Q228" i="6"/>
  <c r="P101" i="6"/>
  <c r="Q121" i="6"/>
  <c r="P155" i="6"/>
  <c r="Q122" i="6"/>
  <c r="P300" i="6"/>
  <c r="P40" i="6"/>
  <c r="P169" i="6"/>
  <c r="P206" i="6"/>
  <c r="P80" i="6"/>
  <c r="P254" i="6"/>
  <c r="Q69" i="6"/>
  <c r="P129" i="6"/>
  <c r="Q28" i="6"/>
  <c r="P72" i="6"/>
  <c r="Q140" i="6"/>
  <c r="P181" i="6"/>
  <c r="P212" i="6"/>
  <c r="Q256" i="6"/>
  <c r="P183" i="6"/>
  <c r="Q296" i="6"/>
  <c r="Q156" i="6"/>
  <c r="P289" i="6"/>
  <c r="Q125" i="6"/>
  <c r="Q252" i="6"/>
  <c r="P60" i="6"/>
  <c r="P386" i="6"/>
  <c r="P333" i="6"/>
  <c r="P232" i="6"/>
  <c r="P209" i="6"/>
  <c r="Q81" i="6"/>
  <c r="P382" i="6"/>
  <c r="P61" i="6"/>
  <c r="P303" i="6"/>
  <c r="P59" i="6"/>
  <c r="Q73" i="6"/>
  <c r="P210" i="6"/>
  <c r="Q108" i="6"/>
  <c r="P82" i="6"/>
  <c r="P248" i="6"/>
  <c r="P150" i="6"/>
  <c r="Q303" i="6"/>
  <c r="P238" i="6"/>
  <c r="P107" i="6"/>
  <c r="P276" i="6"/>
  <c r="P239" i="6"/>
  <c r="Q72" i="6"/>
  <c r="P28" i="6"/>
  <c r="Q183" i="6"/>
  <c r="Q99" i="6"/>
  <c r="Q238" i="6"/>
  <c r="P146" i="6"/>
  <c r="Q11" i="6"/>
  <c r="Q251" i="6"/>
  <c r="Q316" i="6"/>
  <c r="Q244" i="6"/>
  <c r="Q314" i="6"/>
  <c r="P157" i="6"/>
  <c r="P19" i="6"/>
  <c r="Q174" i="6"/>
  <c r="Q165" i="6"/>
  <c r="P182" i="6"/>
  <c r="P357" i="6"/>
  <c r="P383" i="6"/>
  <c r="P327" i="6"/>
  <c r="P336" i="6"/>
  <c r="P70" i="6"/>
  <c r="P213" i="6"/>
  <c r="P308" i="6"/>
  <c r="Q268" i="6"/>
  <c r="P235" i="6"/>
  <c r="Q260" i="6"/>
  <c r="P22" i="6"/>
  <c r="P7" i="6"/>
  <c r="P44" i="6"/>
  <c r="P158" i="6"/>
  <c r="P199" i="6"/>
  <c r="P215" i="6"/>
  <c r="Q304" i="6"/>
  <c r="P167" i="6"/>
  <c r="Q117" i="6"/>
  <c r="Q59" i="6"/>
  <c r="Q145" i="6"/>
  <c r="Q26" i="6"/>
  <c r="Q155" i="6"/>
  <c r="P105" i="6"/>
  <c r="Q173" i="6"/>
  <c r="Q151" i="6"/>
  <c r="P71" i="6"/>
  <c r="P246" i="6"/>
  <c r="P102" i="6"/>
  <c r="P299" i="6"/>
  <c r="Q63" i="6"/>
  <c r="P74" i="6"/>
  <c r="P9" i="6"/>
  <c r="Q262" i="6"/>
  <c r="P43" i="6"/>
  <c r="P96" i="6"/>
  <c r="P277" i="6"/>
  <c r="P373" i="6"/>
  <c r="P385" i="6"/>
  <c r="P346" i="6"/>
  <c r="P345" i="6"/>
  <c r="P11" i="6"/>
  <c r="P142" i="6"/>
  <c r="P37" i="6"/>
  <c r="P227" i="6"/>
  <c r="P392" i="6"/>
  <c r="P145" i="6"/>
  <c r="P4" i="6"/>
  <c r="P197" i="6"/>
  <c r="Q90" i="6"/>
  <c r="P14" i="6"/>
  <c r="Q266" i="6"/>
  <c r="Q163" i="6"/>
  <c r="P311" i="6"/>
  <c r="P42" i="6"/>
  <c r="Q162" i="6"/>
  <c r="Q258" i="6"/>
  <c r="Q248" i="6"/>
  <c r="Q178" i="6"/>
  <c r="Q19" i="6"/>
  <c r="Q166" i="6"/>
  <c r="P51" i="6"/>
  <c r="Q267" i="6"/>
  <c r="Q150" i="6"/>
  <c r="Q30" i="6"/>
  <c r="Q237" i="6"/>
  <c r="Q309" i="6"/>
  <c r="Q247" i="6"/>
  <c r="Q290" i="6"/>
  <c r="Q84" i="6"/>
  <c r="P225" i="6"/>
  <c r="P180" i="6"/>
  <c r="P175" i="6"/>
  <c r="P78" i="6"/>
  <c r="P283" i="6"/>
  <c r="P207" i="6"/>
  <c r="P367" i="6"/>
  <c r="P361" i="6"/>
  <c r="P342" i="6"/>
  <c r="P323" i="6"/>
  <c r="P374" i="6"/>
  <c r="P326" i="6"/>
  <c r="P351" i="6"/>
  <c r="P378" i="6"/>
  <c r="P347" i="6"/>
  <c r="Q74" i="6"/>
  <c r="P284" i="6"/>
  <c r="Q57" i="6"/>
  <c r="P15" i="6"/>
  <c r="P3" i="6"/>
  <c r="P93" i="6"/>
  <c r="Q75" i="6"/>
  <c r="P291" i="6"/>
  <c r="Q231" i="6"/>
  <c r="P154" i="6"/>
  <c r="Q106" i="6"/>
  <c r="P62" i="6"/>
  <c r="Q129" i="6"/>
  <c r="P177" i="6"/>
  <c r="P38" i="6"/>
  <c r="Q160" i="6"/>
  <c r="Q29" i="6"/>
  <c r="Q107" i="6"/>
  <c r="P100" i="6"/>
  <c r="P140" i="6"/>
  <c r="P310" i="6"/>
  <c r="P56" i="6"/>
  <c r="P168" i="6"/>
  <c r="Q97" i="6"/>
  <c r="P92" i="6"/>
  <c r="Q127" i="6"/>
  <c r="Q23" i="6"/>
  <c r="Q250" i="6"/>
  <c r="P245" i="6"/>
  <c r="P98" i="6"/>
  <c r="P322" i="6"/>
  <c r="P358" i="6"/>
  <c r="P366" i="6"/>
  <c r="P340" i="6"/>
  <c r="P353" i="6"/>
  <c r="P362" i="6"/>
  <c r="P390" i="6"/>
  <c r="P337" i="6"/>
  <c r="Q76" i="6"/>
  <c r="P139" i="6"/>
  <c r="Q311" i="6"/>
  <c r="P90" i="6"/>
  <c r="Q253" i="6"/>
  <c r="Q114" i="6"/>
  <c r="Q300" i="6"/>
  <c r="Q22" i="6"/>
  <c r="Q307" i="6"/>
  <c r="P88" i="6"/>
  <c r="P253" i="6"/>
  <c r="Q53" i="6"/>
  <c r="Q15" i="6"/>
  <c r="P106" i="6"/>
  <c r="Q133" i="6"/>
  <c r="Q223" i="6"/>
  <c r="P179" i="6"/>
  <c r="P173" i="6"/>
  <c r="P230" i="6"/>
  <c r="Q294" i="6"/>
  <c r="Q249" i="6"/>
  <c r="Q301" i="6"/>
  <c r="Q68" i="6"/>
  <c r="Q101" i="6"/>
  <c r="P30" i="6"/>
  <c r="P125" i="6"/>
  <c r="P223" i="6"/>
  <c r="Q224" i="6"/>
  <c r="P67" i="6"/>
  <c r="P163" i="6"/>
  <c r="Q4" i="6"/>
  <c r="Q51" i="6"/>
  <c r="Q89" i="6"/>
  <c r="P119" i="6"/>
  <c r="Q149" i="6"/>
  <c r="Q157" i="6"/>
  <c r="P81" i="6"/>
  <c r="Q56" i="6"/>
  <c r="P123" i="6"/>
  <c r="P50" i="6"/>
  <c r="Q12" i="6"/>
  <c r="P302" i="6"/>
  <c r="Q142" i="6"/>
  <c r="Q100" i="6"/>
  <c r="P247" i="6"/>
  <c r="Q167" i="6"/>
  <c r="Q16" i="6"/>
  <c r="Q92" i="6"/>
  <c r="P18" i="6"/>
  <c r="Q182" i="6"/>
  <c r="P41" i="6"/>
  <c r="Q38" i="6"/>
  <c r="Q176" i="6"/>
  <c r="P89" i="6"/>
  <c r="Q302" i="6"/>
  <c r="P79" i="6"/>
  <c r="Q40" i="6"/>
  <c r="Q36" i="6"/>
  <c r="P49" i="6"/>
  <c r="P278" i="6"/>
  <c r="P243" i="6"/>
  <c r="P63" i="6"/>
  <c r="P237" i="6"/>
  <c r="J51" i="2"/>
  <c r="Q232" i="6"/>
  <c r="P75" i="6"/>
  <c r="P335" i="6"/>
  <c r="P151" i="6"/>
  <c r="P282" i="6"/>
  <c r="Q243" i="6"/>
  <c r="P64" i="6"/>
  <c r="P128" i="6"/>
  <c r="P85" i="6"/>
  <c r="Q32" i="6"/>
  <c r="P314" i="6"/>
  <c r="Q17" i="6"/>
  <c r="Q315" i="6"/>
  <c r="Q147" i="6"/>
  <c r="Q35" i="6"/>
  <c r="Q118" i="6"/>
  <c r="Q159" i="6"/>
  <c r="Q135" i="6"/>
  <c r="Q78" i="6"/>
  <c r="J47" i="2"/>
  <c r="Q169" i="6"/>
  <c r="P13" i="6"/>
  <c r="Q239" i="6"/>
  <c r="P297" i="6"/>
  <c r="P234" i="6"/>
  <c r="P317" i="6"/>
  <c r="Q128" i="6"/>
  <c r="Q10" i="6"/>
  <c r="P76" i="6"/>
  <c r="P203" i="6"/>
  <c r="Q261" i="6"/>
  <c r="J101" i="2"/>
  <c r="P147" i="6"/>
  <c r="P162" i="6"/>
  <c r="Q143" i="6"/>
  <c r="P69" i="6"/>
  <c r="Q8" i="6"/>
  <c r="P349" i="6"/>
  <c r="P370" i="6"/>
  <c r="P379" i="6"/>
  <c r="P348" i="6"/>
  <c r="P359" i="6"/>
  <c r="P368" i="6"/>
  <c r="P321" i="6"/>
  <c r="P328" i="6"/>
  <c r="Q7" i="6"/>
  <c r="P39" i="6"/>
  <c r="P84" i="6"/>
  <c r="Q5" i="6"/>
  <c r="Q291" i="6"/>
  <c r="Q62" i="6"/>
  <c r="P290" i="6"/>
  <c r="P171" i="6"/>
  <c r="P229" i="6"/>
  <c r="Q37" i="6"/>
  <c r="Q71" i="6"/>
  <c r="P121" i="6"/>
  <c r="Q20" i="6"/>
  <c r="P77" i="6"/>
  <c r="Q109" i="6"/>
  <c r="Q120" i="6"/>
  <c r="P219" i="6"/>
  <c r="P292" i="6"/>
  <c r="P104" i="6"/>
  <c r="Q27" i="6"/>
  <c r="Q170" i="6"/>
  <c r="P10" i="6"/>
  <c r="Q254" i="6"/>
  <c r="P231" i="6"/>
  <c r="P161" i="6"/>
  <c r="P65" i="6"/>
  <c r="P124" i="6"/>
  <c r="Q265" i="6"/>
  <c r="P143" i="6"/>
  <c r="Q236" i="6"/>
  <c r="P52" i="6"/>
  <c r="P329" i="6"/>
  <c r="P166" i="6"/>
  <c r="P320" i="6"/>
  <c r="Q152" i="6"/>
  <c r="Q131" i="6"/>
  <c r="Q60" i="6"/>
  <c r="P313" i="6"/>
  <c r="Q172" i="6"/>
  <c r="P103" i="6"/>
  <c r="Q234" i="6"/>
  <c r="Q164" i="6"/>
  <c r="Q91" i="6"/>
  <c r="Q66" i="6"/>
  <c r="Q9" i="6"/>
  <c r="Q95" i="6"/>
  <c r="Q44" i="6"/>
  <c r="Q82" i="6"/>
  <c r="Q308" i="6"/>
  <c r="Q241" i="6"/>
  <c r="P293" i="6"/>
  <c r="P280" i="6"/>
  <c r="P165" i="6"/>
  <c r="Q83" i="6"/>
  <c r="P57" i="6"/>
  <c r="Q222" i="6"/>
  <c r="Q3" i="6"/>
  <c r="Q235" i="6"/>
  <c r="P250" i="6"/>
  <c r="Q177" i="6"/>
  <c r="Q24" i="6"/>
  <c r="J50" i="2"/>
  <c r="P118" i="6"/>
  <c r="Q306" i="6"/>
  <c r="P339" i="6"/>
  <c r="P375" i="6"/>
  <c r="P363" i="6"/>
  <c r="P325" i="6"/>
  <c r="P341" i="6"/>
  <c r="Q312" i="6"/>
  <c r="Q148" i="6"/>
  <c r="P36" i="6"/>
  <c r="P176" i="6"/>
  <c r="P301" i="6"/>
  <c r="P110" i="6"/>
  <c r="P8" i="6"/>
  <c r="Q181" i="6"/>
  <c r="P86" i="6"/>
  <c r="Q33" i="6"/>
  <c r="P17" i="6"/>
  <c r="P27" i="6"/>
  <c r="Q50" i="6"/>
  <c r="Q110" i="6"/>
  <c r="P87" i="6"/>
  <c r="Q299" i="6"/>
  <c r="P68" i="6"/>
  <c r="Q25" i="6"/>
  <c r="P211" i="6"/>
  <c r="P97" i="6"/>
  <c r="P244" i="6"/>
  <c r="P249" i="6"/>
  <c r="P214" i="6"/>
  <c r="Q105" i="6"/>
  <c r="P204" i="6"/>
  <c r="P144" i="6"/>
  <c r="Q85" i="6"/>
  <c r="Q255" i="6"/>
  <c r="P122" i="6"/>
  <c r="Q180" i="6"/>
  <c r="P294" i="6"/>
  <c r="P338" i="6"/>
  <c r="P371" i="6"/>
  <c r="P391" i="6"/>
  <c r="P384" i="6"/>
  <c r="P334" i="6"/>
  <c r="P365" i="6"/>
  <c r="P224" i="6"/>
  <c r="P312" i="6"/>
  <c r="P132" i="6"/>
  <c r="P108" i="6"/>
  <c r="P94" i="6"/>
  <c r="P242" i="6"/>
  <c r="Q158" i="6"/>
  <c r="Q168" i="6"/>
  <c r="Q102" i="6"/>
  <c r="P148" i="6"/>
  <c r="Q86" i="6"/>
  <c r="Q87" i="6"/>
  <c r="Q21" i="6"/>
  <c r="P309" i="6"/>
  <c r="Q126" i="6"/>
  <c r="P304" i="6"/>
  <c r="Q264" i="6"/>
  <c r="Q88" i="6"/>
  <c r="Q144" i="6"/>
  <c r="Q116" i="6"/>
  <c r="Q225" i="6"/>
  <c r="Q119" i="6"/>
  <c r="P256" i="6"/>
  <c r="P222" i="6"/>
  <c r="P201" i="6"/>
  <c r="Q229" i="6"/>
  <c r="P120" i="6"/>
  <c r="P218" i="6"/>
  <c r="Q295" i="6"/>
  <c r="Q132" i="6"/>
  <c r="Q292" i="6"/>
  <c r="P352" i="6"/>
  <c r="P387" i="6"/>
  <c r="P369" i="6"/>
  <c r="P364" i="6"/>
  <c r="P324" i="6"/>
  <c r="P350" i="6"/>
  <c r="Q130" i="6"/>
  <c r="Q259" i="6"/>
  <c r="P160" i="6"/>
  <c r="P275" i="6"/>
  <c r="Q141" i="6"/>
  <c r="Q49" i="6"/>
  <c r="Q31" i="6"/>
  <c r="P83" i="6"/>
  <c r="P6" i="6"/>
  <c r="Q64" i="6"/>
  <c r="Q13" i="6"/>
  <c r="Q54" i="6"/>
  <c r="Q310" i="6"/>
  <c r="P141" i="6"/>
  <c r="P134" i="6"/>
  <c r="Q70" i="6"/>
  <c r="P178" i="6"/>
  <c r="Q242" i="6"/>
  <c r="P233" i="6"/>
  <c r="P130" i="6"/>
  <c r="Q6" i="6"/>
  <c r="P153" i="6"/>
  <c r="Q52" i="6"/>
  <c r="Q115" i="6"/>
  <c r="P156" i="6"/>
  <c r="P228" i="6"/>
  <c r="Q58" i="6"/>
  <c r="Q305" i="6"/>
  <c r="Q154" i="6"/>
  <c r="Q289" i="6"/>
  <c r="P331" i="6"/>
  <c r="P372" i="6"/>
  <c r="P360" i="6"/>
  <c r="P381" i="6"/>
  <c r="P344" i="6"/>
  <c r="P376" i="6"/>
  <c r="Q313" i="6"/>
  <c r="P172" i="6"/>
  <c r="P295" i="6"/>
  <c r="P198" i="6"/>
  <c r="Q227" i="6"/>
  <c r="Q39" i="6"/>
  <c r="P99" i="6"/>
  <c r="P170" i="6"/>
  <c r="J102" i="2"/>
  <c r="P2" i="2"/>
  <c r="P127" i="6"/>
  <c r="P55" i="6"/>
  <c r="Q297" i="6"/>
  <c r="Q139" i="6"/>
  <c r="P315" i="6"/>
  <c r="P255" i="6"/>
  <c r="P217" i="6"/>
  <c r="Q79" i="6"/>
  <c r="P286" i="6"/>
  <c r="Q161" i="6"/>
  <c r="Q42" i="6"/>
  <c r="Q230" i="6"/>
  <c r="P241" i="6"/>
  <c r="P251" i="6"/>
  <c r="P226" i="6"/>
  <c r="P174" i="6"/>
  <c r="P285" i="6"/>
  <c r="Q298" i="6"/>
  <c r="P95" i="6"/>
  <c r="Q317" i="6"/>
  <c r="Q175" i="6"/>
  <c r="P34" i="6"/>
  <c r="P388" i="6"/>
  <c r="Q104" i="6"/>
  <c r="P159" i="6"/>
  <c r="Q134" i="6"/>
  <c r="P389" i="6"/>
  <c r="J332" i="2"/>
  <c r="J318" i="2"/>
  <c r="J330" i="2"/>
  <c r="J327" i="2"/>
  <c r="J306" i="2"/>
  <c r="J312" i="2"/>
  <c r="J310" i="2"/>
  <c r="J328" i="2"/>
  <c r="J324" i="2"/>
  <c r="J311" i="2"/>
  <c r="J308" i="2"/>
  <c r="J316" i="2"/>
  <c r="J317" i="2"/>
  <c r="J304" i="2"/>
  <c r="J314" i="2"/>
  <c r="J315" i="2"/>
  <c r="J313" i="2"/>
  <c r="J319" i="2"/>
  <c r="J321" i="2"/>
  <c r="J307" i="2"/>
  <c r="J323" i="2"/>
  <c r="J320" i="2"/>
  <c r="J329" i="2"/>
  <c r="J305" i="2"/>
  <c r="J325" i="2"/>
  <c r="J331" i="2"/>
  <c r="J322" i="2"/>
  <c r="J326" i="2"/>
  <c r="J309" i="2"/>
  <c r="J300" i="2"/>
  <c r="J298" i="2"/>
  <c r="J292" i="2"/>
  <c r="J291" i="2"/>
  <c r="J290" i="2"/>
  <c r="J301" i="2"/>
  <c r="J294" i="2"/>
  <c r="J296" i="2"/>
  <c r="J293" i="2"/>
  <c r="J160" i="2"/>
  <c r="J137" i="2"/>
  <c r="J183" i="2"/>
  <c r="J133" i="2"/>
  <c r="J144" i="2"/>
  <c r="J152" i="2"/>
  <c r="J154" i="2"/>
  <c r="J155" i="2"/>
  <c r="J176" i="2"/>
  <c r="J130" i="2"/>
  <c r="J145" i="2"/>
  <c r="J174" i="2"/>
  <c r="J173" i="2"/>
  <c r="J178" i="2"/>
  <c r="J146" i="2"/>
  <c r="J175" i="2"/>
  <c r="J179" i="2"/>
  <c r="J162" i="2"/>
  <c r="J165" i="2"/>
  <c r="J136" i="2"/>
  <c r="J141" i="2"/>
  <c r="J142" i="2"/>
  <c r="J167" i="2"/>
  <c r="J134" i="2"/>
  <c r="J171" i="2"/>
  <c r="J163" i="2"/>
  <c r="J139" i="2"/>
  <c r="J153" i="2"/>
  <c r="J164" i="2"/>
  <c r="J180" i="2"/>
  <c r="J129" i="2"/>
  <c r="J161" i="2"/>
  <c r="J182" i="2"/>
  <c r="J151" i="2"/>
  <c r="J157" i="2"/>
  <c r="J170" i="2"/>
  <c r="J177" i="2"/>
  <c r="J156" i="2"/>
  <c r="J166" i="2"/>
  <c r="J138" i="2"/>
  <c r="J148" i="2"/>
  <c r="J172" i="2"/>
  <c r="J135" i="2"/>
  <c r="J131" i="2"/>
  <c r="J140" i="2"/>
  <c r="J168" i="2"/>
  <c r="J158" i="2"/>
  <c r="J147" i="2"/>
  <c r="J132" i="2"/>
  <c r="J181" i="2"/>
  <c r="J169" i="2"/>
  <c r="J143" i="2"/>
  <c r="J149" i="2"/>
  <c r="J150" i="2"/>
  <c r="J159" i="2"/>
  <c r="J228" i="2"/>
  <c r="J224" i="2"/>
  <c r="J214" i="2"/>
  <c r="J223" i="2"/>
  <c r="J252" i="2"/>
  <c r="J246" i="2"/>
  <c r="J256" i="2"/>
  <c r="J237" i="2"/>
  <c r="J251" i="2"/>
  <c r="J226" i="2"/>
  <c r="J219" i="2"/>
  <c r="J247" i="2"/>
  <c r="J232" i="2"/>
  <c r="J220" i="2"/>
  <c r="J239" i="2"/>
  <c r="J233" i="2"/>
  <c r="J250" i="2"/>
  <c r="J222" i="2"/>
  <c r="J216" i="2"/>
  <c r="J261" i="2"/>
  <c r="J213" i="2"/>
  <c r="J235" i="2"/>
  <c r="J243" i="2"/>
  <c r="J245" i="2"/>
  <c r="J255" i="2"/>
  <c r="J240" i="2"/>
  <c r="J215" i="2"/>
  <c r="J259" i="2"/>
  <c r="J242" i="2"/>
  <c r="J229" i="2"/>
  <c r="J244" i="2"/>
  <c r="J249" i="2"/>
  <c r="J225" i="2"/>
  <c r="J212" i="2"/>
  <c r="J218" i="2"/>
  <c r="J253" i="2"/>
  <c r="J257" i="2"/>
  <c r="J238" i="2"/>
  <c r="J262" i="2"/>
  <c r="J236" i="2"/>
  <c r="J258" i="2"/>
  <c r="J241" i="2"/>
  <c r="J231" i="2"/>
  <c r="J227" i="2"/>
  <c r="J248" i="2"/>
  <c r="J221" i="2"/>
  <c r="J234" i="2"/>
  <c r="J217" i="2"/>
  <c r="J278" i="2"/>
  <c r="J269" i="2"/>
  <c r="J271" i="2"/>
  <c r="J267" i="2"/>
  <c r="J277" i="2"/>
  <c r="J273" i="2"/>
  <c r="J282" i="2"/>
  <c r="J276" i="2"/>
  <c r="J287" i="2"/>
  <c r="J279" i="2"/>
  <c r="J272" i="2"/>
  <c r="J283" i="2"/>
  <c r="J270" i="2"/>
  <c r="J281" i="2"/>
  <c r="J266" i="2"/>
  <c r="J286" i="2"/>
  <c r="J275" i="2"/>
  <c r="J274" i="2"/>
  <c r="J284" i="2"/>
  <c r="J265" i="2"/>
  <c r="J268" i="2"/>
  <c r="J280" i="2"/>
  <c r="J285" i="2"/>
  <c r="J204" i="2"/>
  <c r="J198" i="2"/>
  <c r="J188" i="2"/>
  <c r="J193" i="2"/>
  <c r="J192" i="2"/>
  <c r="J200" i="2"/>
  <c r="J203" i="2"/>
  <c r="J189" i="2"/>
  <c r="J197" i="2"/>
  <c r="J208" i="2"/>
  <c r="J196" i="2"/>
  <c r="J199" i="2"/>
  <c r="J195" i="2"/>
  <c r="J206" i="2"/>
  <c r="J37" i="2"/>
  <c r="J29" i="2"/>
  <c r="J33" i="2"/>
  <c r="J27" i="2"/>
  <c r="J40" i="2"/>
  <c r="J41" i="2"/>
  <c r="J56" i="2"/>
  <c r="J58" i="2"/>
  <c r="J38" i="2"/>
  <c r="J46" i="2"/>
  <c r="J61" i="2"/>
  <c r="J59" i="2"/>
  <c r="J54" i="2"/>
  <c r="J23" i="2"/>
  <c r="J30" i="2"/>
  <c r="J49" i="2"/>
  <c r="J60" i="2"/>
  <c r="J43" i="2"/>
  <c r="J57" i="2"/>
  <c r="J26" i="2"/>
  <c r="J48" i="2"/>
  <c r="J32" i="2"/>
  <c r="J24" i="2"/>
  <c r="J21" i="2"/>
  <c r="E24" i="2"/>
  <c r="E54" i="2"/>
  <c r="E36" i="2"/>
  <c r="E49" i="2"/>
  <c r="E41" i="2"/>
  <c r="E38" i="2"/>
  <c r="E42" i="2"/>
  <c r="E30" i="2"/>
  <c r="E26" i="2"/>
  <c r="E59" i="2"/>
  <c r="E22" i="2"/>
  <c r="E44" i="2"/>
  <c r="E46" i="2"/>
  <c r="F390" i="2"/>
  <c r="F399" i="2"/>
  <c r="F348" i="2"/>
  <c r="F380" i="2"/>
  <c r="F355" i="2"/>
  <c r="F374" i="2"/>
  <c r="F339" i="2"/>
  <c r="F402" i="2"/>
  <c r="F387" i="2"/>
  <c r="F346" i="2"/>
  <c r="F381" i="2"/>
  <c r="F406" i="2"/>
  <c r="F368" i="2"/>
  <c r="F353" i="2"/>
  <c r="F377" i="2"/>
  <c r="F398" i="2"/>
  <c r="F347" i="2"/>
  <c r="F337" i="2"/>
  <c r="F375" i="2"/>
  <c r="F382" i="2"/>
  <c r="F354" i="2"/>
  <c r="F338" i="2"/>
  <c r="F396" i="2"/>
  <c r="F378" i="2"/>
  <c r="F389" i="2"/>
  <c r="F365" i="2"/>
  <c r="F364" i="2"/>
  <c r="F361" i="2"/>
  <c r="F407" i="2"/>
  <c r="F405" i="2"/>
  <c r="F352" i="2"/>
  <c r="F360" i="2"/>
  <c r="F392" i="2"/>
  <c r="F386" i="2"/>
  <c r="F336" i="2"/>
  <c r="F351" i="2"/>
  <c r="F384" i="2"/>
  <c r="F400" i="2"/>
  <c r="F343" i="2"/>
  <c r="F335" i="2"/>
  <c r="F394" i="2"/>
  <c r="F363" i="2"/>
  <c r="F349" i="2"/>
  <c r="F393" i="2"/>
  <c r="F350" i="2"/>
  <c r="F358" i="2"/>
  <c r="F391" i="2"/>
  <c r="F357" i="2"/>
  <c r="F356" i="2"/>
  <c r="F383" i="2"/>
  <c r="F341" i="2"/>
  <c r="F362" i="2"/>
  <c r="F340" i="2"/>
  <c r="F179" i="2"/>
  <c r="F140" i="2"/>
  <c r="F135" i="2"/>
  <c r="F141" i="2"/>
  <c r="F170" i="2"/>
  <c r="F138" i="2"/>
  <c r="F139" i="2"/>
  <c r="F156" i="2"/>
  <c r="F132" i="2"/>
  <c r="F167" i="2"/>
  <c r="F146" i="2"/>
  <c r="F180" i="2"/>
  <c r="F143" i="2"/>
  <c r="F159" i="2"/>
  <c r="F147" i="2"/>
  <c r="F174" i="2"/>
  <c r="F172" i="2"/>
  <c r="F136" i="2"/>
  <c r="F137" i="2"/>
  <c r="F165" i="2"/>
  <c r="F134" i="2"/>
  <c r="F178" i="2"/>
  <c r="F169" i="2"/>
  <c r="F142" i="2"/>
  <c r="F133" i="2"/>
  <c r="F131" i="2"/>
  <c r="F150" i="2"/>
  <c r="F183" i="2"/>
  <c r="F148" i="2"/>
  <c r="F175" i="2"/>
  <c r="F130" i="2"/>
  <c r="F161" i="2"/>
  <c r="F164" i="2"/>
  <c r="F166" i="2"/>
  <c r="F163" i="2"/>
  <c r="F171" i="2"/>
  <c r="F149" i="2"/>
  <c r="F152" i="2"/>
  <c r="F177" i="2"/>
  <c r="F176" i="2"/>
  <c r="F182" i="2"/>
  <c r="F168" i="2"/>
  <c r="F162" i="2"/>
  <c r="F145" i="2"/>
  <c r="F160" i="2"/>
  <c r="F154" i="2"/>
  <c r="F157" i="2"/>
  <c r="F129" i="2"/>
  <c r="F181" i="2"/>
  <c r="F158" i="2"/>
  <c r="F153" i="2"/>
  <c r="F155" i="2"/>
  <c r="F151" i="2"/>
  <c r="F173" i="2"/>
  <c r="F144" i="2"/>
  <c r="F272" i="2"/>
  <c r="F282" i="2"/>
  <c r="F274" i="2"/>
  <c r="F266" i="2"/>
  <c r="F275" i="2"/>
  <c r="F270" i="2"/>
  <c r="F265" i="2"/>
  <c r="F286" i="2"/>
  <c r="F276" i="2"/>
  <c r="F281" i="2"/>
  <c r="F273" i="2"/>
  <c r="F278" i="2"/>
  <c r="F271" i="2"/>
  <c r="F285" i="2"/>
  <c r="F280" i="2"/>
  <c r="F279" i="2"/>
  <c r="F277" i="2"/>
  <c r="F284" i="2"/>
  <c r="F268" i="2"/>
  <c r="F287" i="2"/>
  <c r="F283" i="2"/>
  <c r="F267" i="2"/>
  <c r="F269" i="2"/>
  <c r="F230" i="2"/>
  <c r="F262" i="2"/>
  <c r="F249" i="2"/>
  <c r="F259" i="2"/>
  <c r="F213" i="2"/>
  <c r="F228" i="2"/>
  <c r="F225" i="2"/>
  <c r="F212" i="2"/>
  <c r="F216" i="2"/>
  <c r="F227" i="2"/>
  <c r="F232" i="2"/>
  <c r="F246" i="2"/>
  <c r="F224" i="2"/>
  <c r="F250" i="2"/>
  <c r="F214" i="2"/>
  <c r="F236" i="2"/>
  <c r="F251" i="2"/>
  <c r="F243" i="2"/>
  <c r="F234" i="2"/>
  <c r="F244" i="2"/>
  <c r="F255" i="2"/>
  <c r="F260" i="2"/>
  <c r="F217" i="2"/>
  <c r="F238" i="2"/>
  <c r="F237" i="2"/>
  <c r="F242" i="2"/>
  <c r="F231" i="2"/>
  <c r="F221" i="2"/>
  <c r="F254" i="2"/>
  <c r="F222" i="2"/>
  <c r="F219" i="2"/>
  <c r="F223" i="2"/>
  <c r="F239" i="2"/>
  <c r="F247" i="2"/>
  <c r="F235" i="2"/>
  <c r="F233" i="2"/>
  <c r="F226" i="2"/>
  <c r="F229" i="2"/>
  <c r="F245" i="2"/>
  <c r="F240" i="2"/>
  <c r="F220" i="2"/>
  <c r="F252" i="2"/>
  <c r="F218" i="2"/>
  <c r="F215" i="2"/>
  <c r="F256" i="2"/>
  <c r="F258" i="2"/>
  <c r="F248" i="2"/>
  <c r="F257" i="2"/>
  <c r="F261" i="2"/>
  <c r="F241" i="2"/>
  <c r="F253" i="2"/>
  <c r="F55" i="2"/>
  <c r="F61" i="2"/>
  <c r="F58" i="2"/>
  <c r="F40" i="2"/>
  <c r="F36" i="2"/>
  <c r="F57" i="2"/>
  <c r="F49" i="2"/>
  <c r="F56" i="2"/>
  <c r="F53" i="2"/>
  <c r="F46" i="2"/>
  <c r="F39" i="2"/>
  <c r="F62" i="2"/>
  <c r="F45" i="2"/>
  <c r="F28" i="2"/>
  <c r="F44" i="2"/>
  <c r="F34" i="2"/>
  <c r="F37" i="2"/>
  <c r="F38" i="2"/>
  <c r="F33" i="2"/>
  <c r="F29" i="2"/>
  <c r="F32" i="2"/>
  <c r="F30" i="2"/>
  <c r="F22" i="2"/>
  <c r="F23" i="2"/>
  <c r="F26" i="2"/>
  <c r="F21" i="2"/>
  <c r="F25" i="2"/>
  <c r="F54" i="2"/>
  <c r="F24" i="2"/>
  <c r="F41" i="2"/>
  <c r="F35" i="2"/>
  <c r="F59" i="2"/>
  <c r="F27" i="2"/>
  <c r="F42" i="2"/>
  <c r="F48" i="2"/>
  <c r="F60" i="2"/>
  <c r="F31" i="2"/>
  <c r="F52" i="2"/>
  <c r="F43" i="2"/>
  <c r="F199" i="2"/>
  <c r="F209" i="2"/>
  <c r="F196" i="2"/>
  <c r="F208" i="2"/>
  <c r="F194" i="2"/>
  <c r="F204" i="2"/>
  <c r="F201" i="2"/>
  <c r="F207" i="2"/>
  <c r="F200" i="2"/>
  <c r="F203" i="2"/>
  <c r="F198" i="2"/>
  <c r="F202" i="2"/>
  <c r="F197" i="2"/>
  <c r="F190" i="2"/>
  <c r="F195" i="2"/>
  <c r="F206" i="2"/>
  <c r="F193" i="2"/>
  <c r="F189" i="2"/>
  <c r="F191" i="2"/>
  <c r="F187" i="2"/>
  <c r="F192" i="2"/>
  <c r="F205" i="2"/>
  <c r="F188" i="2"/>
  <c r="F73" i="2"/>
  <c r="F90" i="2"/>
  <c r="F95" i="2"/>
  <c r="F78" i="2"/>
  <c r="F117" i="2"/>
  <c r="F93" i="2"/>
  <c r="F85" i="2"/>
  <c r="F92" i="2"/>
  <c r="F125" i="2"/>
  <c r="F103" i="2"/>
  <c r="F77" i="2"/>
  <c r="F120" i="2"/>
  <c r="F119" i="2"/>
  <c r="F68" i="2"/>
  <c r="F81" i="2"/>
  <c r="F66" i="2"/>
  <c r="F107" i="2"/>
  <c r="F83" i="2"/>
  <c r="F116" i="2"/>
  <c r="F74" i="2"/>
  <c r="F69" i="2"/>
  <c r="F79" i="2"/>
  <c r="F106" i="2"/>
  <c r="F98" i="2"/>
  <c r="F104" i="2"/>
  <c r="F67" i="2"/>
  <c r="F86" i="2"/>
  <c r="F82" i="2"/>
  <c r="F123" i="2"/>
  <c r="F71" i="2"/>
  <c r="F121" i="2"/>
  <c r="F91" i="2"/>
  <c r="F122" i="2"/>
  <c r="F113" i="2"/>
  <c r="F124" i="2"/>
  <c r="F99" i="2"/>
  <c r="F87" i="2"/>
  <c r="F112" i="2"/>
  <c r="F89" i="2"/>
  <c r="F100" i="2"/>
  <c r="F111" i="2"/>
  <c r="F84" i="2"/>
  <c r="F65" i="2"/>
  <c r="F94" i="2"/>
  <c r="F88" i="2"/>
  <c r="F72" i="2"/>
  <c r="F114" i="2"/>
  <c r="F75" i="2"/>
  <c r="F109" i="2"/>
  <c r="F76" i="2"/>
  <c r="F126" i="2"/>
  <c r="F115" i="2"/>
  <c r="F110" i="2"/>
  <c r="F105" i="2"/>
  <c r="F96" i="2"/>
  <c r="F80" i="2"/>
  <c r="F70" i="2"/>
  <c r="F118" i="2"/>
  <c r="F97" i="2"/>
  <c r="M357" i="6"/>
  <c r="M90" i="6"/>
  <c r="M102" i="6"/>
  <c r="M380" i="6"/>
  <c r="M73" i="6"/>
  <c r="M98" i="6"/>
  <c r="F51" i="2"/>
  <c r="M16" i="6"/>
  <c r="M96" i="6"/>
  <c r="F101" i="2"/>
  <c r="M76" i="6"/>
  <c r="M65" i="6"/>
  <c r="M99" i="6"/>
  <c r="M237" i="6"/>
  <c r="M3" i="6"/>
  <c r="M254" i="6"/>
  <c r="M238" i="6"/>
  <c r="M236" i="6"/>
  <c r="M285" i="6"/>
  <c r="F379" i="2"/>
  <c r="F300" i="2"/>
  <c r="F295" i="2"/>
  <c r="F301" i="2"/>
  <c r="F298" i="2"/>
  <c r="F290" i="2"/>
  <c r="F291" i="2"/>
  <c r="F297" i="2"/>
  <c r="F292" i="2"/>
  <c r="F299" i="2"/>
  <c r="F294" i="2"/>
  <c r="F296" i="2"/>
  <c r="F293" i="2"/>
  <c r="E345" i="2"/>
  <c r="E379" i="2"/>
  <c r="E395" i="2"/>
  <c r="E401" i="2"/>
  <c r="E386" i="2"/>
  <c r="E377" i="2"/>
  <c r="E390" i="2"/>
  <c r="E372" i="2"/>
  <c r="E404" i="2"/>
  <c r="E346" i="2"/>
  <c r="E337" i="2"/>
  <c r="E391" i="2"/>
  <c r="E384" i="2"/>
  <c r="E371" i="2"/>
  <c r="E335" i="2"/>
  <c r="E357" i="2"/>
  <c r="E364" i="2"/>
  <c r="E381" i="2"/>
  <c r="E352" i="2"/>
  <c r="E375" i="2"/>
  <c r="E383" i="2"/>
  <c r="E347" i="2"/>
  <c r="E360" i="2"/>
  <c r="E376" i="2"/>
  <c r="E356" i="2"/>
  <c r="L363" i="6"/>
  <c r="L365" i="6"/>
  <c r="L330" i="6"/>
  <c r="L341" i="6"/>
  <c r="L308" i="6"/>
  <c r="L298" i="6"/>
  <c r="L102" i="6"/>
  <c r="L103" i="6"/>
  <c r="L78" i="6"/>
  <c r="L79" i="6"/>
  <c r="L80" i="6"/>
  <c r="L76" i="6"/>
  <c r="L32" i="6"/>
  <c r="L52" i="6"/>
  <c r="L132" i="6"/>
  <c r="L175" i="6"/>
  <c r="L130" i="6"/>
  <c r="L198" i="6"/>
  <c r="L140" i="6"/>
  <c r="L123" i="6"/>
  <c r="L127" i="6"/>
  <c r="L131" i="6"/>
  <c r="L339" i="6"/>
  <c r="L12" i="6"/>
  <c r="L44" i="6"/>
  <c r="L214" i="6"/>
  <c r="L152" i="6"/>
  <c r="L357" i="6"/>
  <c r="L387" i="6"/>
  <c r="L346" i="6"/>
  <c r="L322" i="6"/>
  <c r="L188" i="6"/>
  <c r="L316" i="6"/>
  <c r="L304" i="6"/>
  <c r="L106" i="6"/>
  <c r="L108" i="6"/>
  <c r="L73" i="6"/>
  <c r="L71" i="6"/>
  <c r="L83" i="6"/>
  <c r="L69" i="6"/>
  <c r="L88" i="6"/>
  <c r="L61" i="6"/>
  <c r="L151" i="6"/>
  <c r="L173" i="6"/>
  <c r="L183" i="6"/>
  <c r="L134" i="6"/>
  <c r="L119" i="6"/>
  <c r="L171" i="6"/>
  <c r="L166" i="6"/>
  <c r="L182" i="6"/>
  <c r="L361" i="6"/>
  <c r="L369" i="6"/>
  <c r="L343" i="6"/>
  <c r="L338" i="6"/>
  <c r="L191" i="6"/>
  <c r="L289" i="6"/>
  <c r="L293" i="6"/>
  <c r="L74" i="6"/>
  <c r="L86" i="6"/>
  <c r="L99" i="6"/>
  <c r="L281" i="6"/>
  <c r="L282" i="6"/>
  <c r="L95" i="6"/>
  <c r="L81" i="6"/>
  <c r="L3" i="6"/>
  <c r="L55" i="6"/>
  <c r="L142" i="6"/>
  <c r="L177" i="6"/>
  <c r="L115" i="6"/>
  <c r="L174" i="6"/>
  <c r="L158" i="6"/>
  <c r="L170" i="6"/>
  <c r="L167" i="6"/>
  <c r="L379" i="6"/>
  <c r="L367" i="6"/>
  <c r="L359" i="6"/>
  <c r="L327" i="6"/>
  <c r="L352" i="6"/>
  <c r="L185" i="6"/>
  <c r="L294" i="6"/>
  <c r="L307" i="6"/>
  <c r="L230" i="6"/>
  <c r="L228" i="6"/>
  <c r="L226" i="6"/>
  <c r="L224" i="6"/>
  <c r="L222" i="6"/>
  <c r="L261" i="6"/>
  <c r="L283" i="6"/>
  <c r="L107" i="6"/>
  <c r="L100" i="6"/>
  <c r="L23" i="6"/>
  <c r="L155" i="6"/>
  <c r="L146" i="6"/>
  <c r="L181" i="6"/>
  <c r="L154" i="6"/>
  <c r="L4" i="6"/>
  <c r="L20" i="6"/>
  <c r="L36" i="6"/>
  <c r="L382" i="6"/>
  <c r="L368" i="6"/>
  <c r="L375" i="6"/>
  <c r="L324" i="6"/>
  <c r="L335" i="6"/>
  <c r="L189" i="6"/>
  <c r="L315" i="6"/>
  <c r="L253" i="6"/>
  <c r="L255" i="6"/>
  <c r="L257" i="6"/>
  <c r="L259" i="6"/>
  <c r="L266" i="6"/>
  <c r="L254" i="6"/>
  <c r="L270" i="6"/>
  <c r="E101" i="2"/>
  <c r="L93" i="6"/>
  <c r="L57" i="6"/>
  <c r="L5" i="6"/>
  <c r="L21" i="6"/>
  <c r="L150" i="6"/>
  <c r="L39" i="6"/>
  <c r="L8" i="6"/>
  <c r="L56" i="6"/>
  <c r="L25" i="6"/>
  <c r="L374" i="6"/>
  <c r="L349" i="6"/>
  <c r="L35" i="6"/>
  <c r="L63" i="6"/>
  <c r="L126" i="6"/>
  <c r="L148" i="6"/>
  <c r="L390" i="6"/>
  <c r="L358" i="6"/>
  <c r="L385" i="6"/>
  <c r="L340" i="6"/>
  <c r="L351" i="6"/>
  <c r="L190" i="6"/>
  <c r="L297" i="6"/>
  <c r="L241" i="6"/>
  <c r="L239" i="6"/>
  <c r="L237" i="6"/>
  <c r="L235" i="6"/>
  <c r="L233" i="6"/>
  <c r="L231" i="6"/>
  <c r="L264" i="6"/>
  <c r="L284" i="6"/>
  <c r="L72" i="6"/>
  <c r="E47" i="2"/>
  <c r="L40" i="6"/>
  <c r="L9" i="6"/>
  <c r="L37" i="6"/>
  <c r="L31" i="6"/>
  <c r="L60" i="6"/>
  <c r="L7" i="6"/>
  <c r="L34" i="6"/>
  <c r="L13" i="6"/>
  <c r="L360" i="6"/>
  <c r="L384" i="6"/>
  <c r="L372" i="6"/>
  <c r="L321" i="6"/>
  <c r="L332" i="6"/>
  <c r="L193" i="6"/>
  <c r="L300" i="6"/>
  <c r="L210" i="6"/>
  <c r="L199" i="6"/>
  <c r="L209" i="6"/>
  <c r="L203" i="6"/>
  <c r="L219" i="6"/>
  <c r="L202" i="6"/>
  <c r="L227" i="6"/>
  <c r="L248" i="6"/>
  <c r="E102" i="2"/>
  <c r="L101" i="6"/>
  <c r="L19" i="6"/>
  <c r="L11" i="6"/>
  <c r="L29" i="6"/>
  <c r="L43" i="6"/>
  <c r="L28" i="6"/>
  <c r="L30" i="6"/>
  <c r="L17" i="6"/>
  <c r="L376" i="6"/>
  <c r="L388" i="6"/>
  <c r="L391" i="6"/>
  <c r="L337" i="6"/>
  <c r="L348" i="6"/>
  <c r="L192" i="6"/>
  <c r="L296" i="6"/>
  <c r="L311" i="6"/>
  <c r="L211" i="6"/>
  <c r="L216" i="6"/>
  <c r="L205" i="6"/>
  <c r="L218" i="6"/>
  <c r="L201" i="6"/>
  <c r="L200" i="6"/>
  <c r="L207" i="6"/>
  <c r="L252" i="6"/>
  <c r="L285" i="6"/>
  <c r="L105" i="6"/>
  <c r="E51" i="2"/>
  <c r="E50" i="2"/>
  <c r="L27" i="6"/>
  <c r="L91" i="6"/>
  <c r="L65" i="6"/>
  <c r="L77" i="6"/>
  <c r="L89" i="6"/>
  <c r="L364" i="6"/>
  <c r="L380" i="6"/>
  <c r="L353" i="6"/>
  <c r="L320" i="6"/>
  <c r="L194" i="6"/>
  <c r="L299" i="6"/>
  <c r="L290" i="6"/>
  <c r="L156" i="6"/>
  <c r="L160" i="6"/>
  <c r="L164" i="6"/>
  <c r="L168" i="6"/>
  <c r="L172" i="6"/>
  <c r="L176" i="6"/>
  <c r="L114" i="6"/>
  <c r="L229" i="6"/>
  <c r="L263" i="6"/>
  <c r="L84" i="6"/>
  <c r="L66" i="6"/>
  <c r="L90" i="6"/>
  <c r="L67" i="6"/>
  <c r="L92" i="6"/>
  <c r="L70" i="6"/>
  <c r="L82" i="6"/>
  <c r="L94" i="6"/>
  <c r="L378" i="6"/>
  <c r="L317" i="6"/>
  <c r="L33" i="6"/>
  <c r="L147" i="6"/>
  <c r="L204" i="6"/>
  <c r="L389" i="6"/>
  <c r="L383" i="6"/>
  <c r="L334" i="6"/>
  <c r="L336" i="6"/>
  <c r="L187" i="6"/>
  <c r="L310" i="6"/>
  <c r="L292" i="6"/>
  <c r="L135" i="6"/>
  <c r="L141" i="6"/>
  <c r="L145" i="6"/>
  <c r="L149" i="6"/>
  <c r="L153" i="6"/>
  <c r="L157" i="6"/>
  <c r="L180" i="6"/>
  <c r="L223" i="6"/>
  <c r="L265" i="6"/>
  <c r="L279" i="6"/>
  <c r="L85" i="6"/>
  <c r="L110" i="6"/>
  <c r="L87" i="6"/>
  <c r="L97" i="6"/>
  <c r="L98" i="6"/>
  <c r="L75" i="6"/>
  <c r="L68" i="6"/>
  <c r="L377" i="6"/>
  <c r="L386" i="6"/>
  <c r="L350" i="6"/>
  <c r="L329" i="6"/>
  <c r="L186" i="6"/>
  <c r="L312" i="6"/>
  <c r="L303" i="6"/>
  <c r="L159" i="6"/>
  <c r="L162" i="6"/>
  <c r="L178" i="6"/>
  <c r="L163" i="6"/>
  <c r="L116" i="6"/>
  <c r="L120" i="6"/>
  <c r="L161" i="6"/>
  <c r="L212" i="6"/>
  <c r="L225" i="6"/>
  <c r="L244" i="6"/>
  <c r="L109" i="6"/>
  <c r="L104" i="6"/>
  <c r="L96" i="6"/>
  <c r="L276" i="6"/>
  <c r="L277" i="6"/>
  <c r="L278" i="6"/>
  <c r="L362" i="6"/>
  <c r="L371" i="6"/>
  <c r="L331" i="6"/>
  <c r="L345" i="6"/>
  <c r="L291" i="6"/>
  <c r="L314" i="6"/>
  <c r="L113" i="6"/>
  <c r="L117" i="6"/>
  <c r="L121" i="6"/>
  <c r="L125" i="6"/>
  <c r="L129" i="6"/>
  <c r="L133" i="6"/>
  <c r="L124" i="6"/>
  <c r="L118" i="6"/>
  <c r="L271" i="6"/>
  <c r="L272" i="6"/>
  <c r="L280" i="6"/>
  <c r="L286" i="6"/>
  <c r="L275" i="6"/>
  <c r="L236" i="6"/>
  <c r="L234" i="6"/>
  <c r="L232" i="6"/>
  <c r="L325" i="6"/>
  <c r="L309" i="6"/>
  <c r="L15" i="6"/>
  <c r="L169" i="6"/>
  <c r="L144" i="6"/>
  <c r="L370" i="6"/>
  <c r="L381" i="6"/>
  <c r="L347" i="6"/>
  <c r="L326" i="6"/>
  <c r="L302" i="6"/>
  <c r="L306" i="6"/>
  <c r="L50" i="6"/>
  <c r="L58" i="6"/>
  <c r="L24" i="6"/>
  <c r="L64" i="6"/>
  <c r="L41" i="6"/>
  <c r="L62" i="6"/>
  <c r="L143" i="6"/>
  <c r="L179" i="6"/>
  <c r="L206" i="6"/>
  <c r="L269" i="6"/>
  <c r="L242" i="6"/>
  <c r="L240" i="6"/>
  <c r="L238" i="6"/>
  <c r="L245" i="6"/>
  <c r="L249" i="6"/>
  <c r="L251" i="6"/>
  <c r="L373" i="6"/>
  <c r="L356" i="6"/>
  <c r="L328" i="6"/>
  <c r="L342" i="6"/>
  <c r="L313" i="6"/>
  <c r="L301" i="6"/>
  <c r="L54" i="6"/>
  <c r="L14" i="6"/>
  <c r="L16" i="6"/>
  <c r="L6" i="6"/>
  <c r="L22" i="6"/>
  <c r="L38" i="6"/>
  <c r="L49" i="6"/>
  <c r="L165" i="6"/>
  <c r="L122" i="6"/>
  <c r="L246" i="6"/>
  <c r="L247" i="6"/>
  <c r="L268" i="6"/>
  <c r="L258" i="6"/>
  <c r="L267" i="6"/>
  <c r="L262" i="6"/>
  <c r="L243" i="6"/>
  <c r="L197" i="6"/>
  <c r="L392" i="6"/>
  <c r="L366" i="6"/>
  <c r="L333" i="6"/>
  <c r="L344" i="6"/>
  <c r="L323" i="6"/>
  <c r="L305" i="6"/>
  <c r="L295" i="6"/>
  <c r="L18" i="6"/>
  <c r="L10" i="6"/>
  <c r="L26" i="6"/>
  <c r="L42" i="6"/>
  <c r="L51" i="6"/>
  <c r="L59" i="6"/>
  <c r="L53" i="6"/>
  <c r="L128" i="6"/>
  <c r="L139" i="6"/>
  <c r="L215" i="6"/>
  <c r="L260" i="6"/>
  <c r="L250" i="6"/>
  <c r="L256" i="6"/>
  <c r="L208" i="6"/>
  <c r="L213" i="6"/>
  <c r="L217" i="6"/>
  <c r="E388" i="2"/>
  <c r="E342" i="2"/>
  <c r="E348" i="2"/>
  <c r="E394" i="2"/>
  <c r="E403" i="2"/>
  <c r="E120" i="2"/>
  <c r="E111" i="2"/>
  <c r="E81" i="2"/>
  <c r="E96" i="2"/>
  <c r="E99" i="2"/>
  <c r="E124" i="2"/>
  <c r="E80" i="2"/>
  <c r="E116" i="2"/>
  <c r="E66" i="2"/>
  <c r="E70" i="2"/>
  <c r="E93" i="2"/>
  <c r="E74" i="2"/>
  <c r="E125" i="2"/>
  <c r="E105" i="2"/>
  <c r="E86" i="2"/>
  <c r="E110" i="2"/>
  <c r="E89" i="2"/>
  <c r="E72" i="2"/>
  <c r="E118" i="2"/>
  <c r="E115" i="2"/>
  <c r="E82" i="2"/>
  <c r="E121" i="2"/>
  <c r="E92" i="2"/>
  <c r="E73" i="2"/>
  <c r="E69" i="2"/>
  <c r="E122" i="2"/>
  <c r="E75" i="2"/>
  <c r="E107" i="2"/>
  <c r="E109" i="2"/>
  <c r="E83" i="2"/>
  <c r="E94" i="2"/>
  <c r="E97" i="2"/>
  <c r="E117" i="2"/>
  <c r="E79" i="2"/>
  <c r="E126" i="2"/>
  <c r="E68" i="2"/>
  <c r="E114" i="2"/>
  <c r="E123" i="2"/>
  <c r="E71" i="2"/>
  <c r="E100" i="2"/>
  <c r="E90" i="2"/>
  <c r="E77" i="2"/>
  <c r="E65" i="2"/>
  <c r="E104" i="2"/>
  <c r="E112" i="2"/>
  <c r="E87" i="2"/>
  <c r="E85" i="2"/>
  <c r="E98" i="2"/>
  <c r="E91" i="2"/>
  <c r="E95" i="2"/>
  <c r="E88" i="2"/>
  <c r="E119" i="2"/>
  <c r="E113" i="2"/>
  <c r="E78" i="2"/>
  <c r="E103" i="2"/>
  <c r="O105" i="2"/>
  <c r="E67" i="2"/>
  <c r="E84" i="2"/>
  <c r="E76" i="2"/>
  <c r="E106" i="2"/>
  <c r="E340" i="2"/>
  <c r="E365" i="2"/>
  <c r="E338" i="2"/>
  <c r="E380" i="2"/>
  <c r="E374" i="2"/>
  <c r="E270" i="2"/>
  <c r="E276" i="2"/>
  <c r="E277" i="2"/>
  <c r="E274" i="2"/>
  <c r="E279" i="2"/>
  <c r="E278" i="2"/>
  <c r="E269" i="2"/>
  <c r="E286" i="2"/>
  <c r="E283" i="2"/>
  <c r="E268" i="2"/>
  <c r="E285" i="2"/>
  <c r="E282" i="2"/>
  <c r="E275" i="2"/>
  <c r="E266" i="2"/>
  <c r="E273" i="2"/>
  <c r="E280" i="2"/>
  <c r="E267" i="2"/>
  <c r="E272" i="2"/>
  <c r="E271" i="2"/>
  <c r="E284" i="2"/>
  <c r="E281" i="2"/>
  <c r="E287" i="2"/>
  <c r="E265" i="2"/>
  <c r="E392" i="2"/>
  <c r="E350" i="2"/>
  <c r="E393" i="2"/>
  <c r="E203" i="2"/>
  <c r="E195" i="2"/>
  <c r="E209" i="2"/>
  <c r="E192" i="2"/>
  <c r="E199" i="2"/>
  <c r="E204" i="2"/>
  <c r="E196" i="2"/>
  <c r="E200" i="2"/>
  <c r="E188" i="2"/>
  <c r="E187" i="2"/>
  <c r="E208" i="2"/>
  <c r="E197" i="2"/>
  <c r="E189" i="2"/>
  <c r="E198" i="2"/>
  <c r="E190" i="2"/>
  <c r="E207" i="2"/>
  <c r="E201" i="2"/>
  <c r="E191" i="2"/>
  <c r="E194" i="2"/>
  <c r="E193" i="2"/>
  <c r="E206" i="2"/>
  <c r="E202" i="2"/>
  <c r="E205" i="2"/>
  <c r="E397" i="2"/>
  <c r="E373" i="2"/>
  <c r="E398" i="2"/>
  <c r="E382" i="2"/>
  <c r="E368" i="2"/>
  <c r="E344" i="2"/>
  <c r="E29" i="2"/>
  <c r="E40" i="2"/>
  <c r="E45" i="2"/>
  <c r="E27" i="2"/>
  <c r="E57" i="2"/>
  <c r="E31" i="2"/>
  <c r="E35" i="2"/>
  <c r="E21" i="2"/>
  <c r="E55" i="2"/>
  <c r="E39" i="2"/>
  <c r="E58" i="2"/>
  <c r="E32" i="2"/>
  <c r="E37" i="2"/>
  <c r="E52" i="2"/>
  <c r="E62" i="2"/>
  <c r="E56" i="2"/>
  <c r="E43" i="2"/>
  <c r="E53" i="2"/>
  <c r="E34" i="2"/>
  <c r="E48" i="2"/>
  <c r="E25" i="2"/>
  <c r="E61" i="2"/>
  <c r="E60" i="2"/>
  <c r="E23" i="2"/>
  <c r="E28" i="2"/>
  <c r="E367" i="2"/>
  <c r="E339" i="2"/>
  <c r="E361" i="2"/>
  <c r="E399" i="2"/>
  <c r="E343" i="2"/>
  <c r="E132" i="2"/>
  <c r="E137" i="2"/>
  <c r="E148" i="2"/>
  <c r="E147" i="2"/>
  <c r="E171" i="2"/>
  <c r="E174" i="2"/>
  <c r="E160" i="2"/>
  <c r="E180" i="2"/>
  <c r="E138" i="2"/>
  <c r="E158" i="2"/>
  <c r="E143" i="2"/>
  <c r="E168" i="2"/>
  <c r="E136" i="2"/>
  <c r="E133" i="2"/>
  <c r="E176" i="2"/>
  <c r="E139" i="2"/>
  <c r="E156" i="2"/>
  <c r="E129" i="2"/>
  <c r="E134" i="2"/>
  <c r="E164" i="2"/>
  <c r="E142" i="2"/>
  <c r="E182" i="2"/>
  <c r="E161" i="2"/>
  <c r="E151" i="2"/>
  <c r="E172" i="2"/>
  <c r="E183" i="2"/>
  <c r="E144" i="2"/>
  <c r="E163" i="2"/>
  <c r="E169" i="2"/>
  <c r="E170" i="2"/>
  <c r="E141" i="2"/>
  <c r="E150" i="2"/>
  <c r="E145" i="2"/>
  <c r="E165" i="2"/>
  <c r="E177" i="2"/>
  <c r="E179" i="2"/>
  <c r="E146" i="2"/>
  <c r="E149" i="2"/>
  <c r="E131" i="2"/>
  <c r="E167" i="2"/>
  <c r="E135" i="2"/>
  <c r="E130" i="2"/>
  <c r="E154" i="2"/>
  <c r="E140" i="2"/>
  <c r="E153" i="2"/>
  <c r="E166" i="2"/>
  <c r="E181" i="2"/>
  <c r="E162" i="2"/>
  <c r="E152" i="2"/>
  <c r="E173" i="2"/>
  <c r="E159" i="2"/>
  <c r="E175" i="2"/>
  <c r="E178" i="2"/>
  <c r="E157" i="2"/>
  <c r="E155" i="2"/>
  <c r="E349" i="2"/>
  <c r="E354" i="2"/>
  <c r="E406" i="2"/>
  <c r="E405" i="2"/>
  <c r="E228" i="2"/>
  <c r="E255" i="2"/>
  <c r="E233" i="2"/>
  <c r="E254" i="2"/>
  <c r="E213" i="2"/>
  <c r="E258" i="2"/>
  <c r="E218" i="2"/>
  <c r="E236" i="2"/>
  <c r="E239" i="2"/>
  <c r="E248" i="2"/>
  <c r="E220" i="2"/>
  <c r="E253" i="2"/>
  <c r="E225" i="2"/>
  <c r="E237" i="2"/>
  <c r="E224" i="2"/>
  <c r="E223" i="2"/>
  <c r="E217" i="2"/>
  <c r="E256" i="2"/>
  <c r="E250" i="2"/>
  <c r="E242" i="2"/>
  <c r="E222" i="2"/>
  <c r="E212" i="2"/>
  <c r="E259" i="2"/>
  <c r="E231" i="2"/>
  <c r="E232" i="2"/>
  <c r="E262" i="2"/>
  <c r="E221" i="2"/>
  <c r="E251" i="2"/>
  <c r="E226" i="2"/>
  <c r="E261" i="2"/>
  <c r="E238" i="2"/>
  <c r="E243" i="2"/>
  <c r="E257" i="2"/>
  <c r="E247" i="2"/>
  <c r="E246" i="2"/>
  <c r="E260" i="2"/>
  <c r="E216" i="2"/>
  <c r="E240" i="2"/>
  <c r="E214" i="2"/>
  <c r="E245" i="2"/>
  <c r="E235" i="2"/>
  <c r="E227" i="2"/>
  <c r="E241" i="2"/>
  <c r="E252" i="2"/>
  <c r="E230" i="2"/>
  <c r="E244" i="2"/>
  <c r="E215" i="2"/>
  <c r="E249" i="2"/>
  <c r="E229" i="2"/>
  <c r="E219" i="2"/>
  <c r="E234" i="2"/>
  <c r="E407" i="2"/>
  <c r="E387" i="2"/>
  <c r="E378" i="2"/>
  <c r="E296" i="2"/>
  <c r="E301" i="2"/>
  <c r="E297" i="2"/>
  <c r="E291" i="2"/>
  <c r="E292" i="2"/>
  <c r="E298" i="2"/>
  <c r="E300" i="2"/>
  <c r="E294" i="2"/>
  <c r="E299" i="2"/>
  <c r="E290" i="2"/>
  <c r="E295" i="2"/>
  <c r="E293" i="2"/>
  <c r="E351" i="2"/>
  <c r="E389" i="2"/>
  <c r="E385" i="2"/>
  <c r="E353" i="2"/>
  <c r="E366" i="2"/>
  <c r="E355" i="2"/>
  <c r="E341" i="2"/>
  <c r="E363" i="2"/>
  <c r="E359" i="2"/>
  <c r="E306" i="2"/>
  <c r="E317" i="2"/>
  <c r="E312" i="2"/>
  <c r="E311" i="2"/>
  <c r="E304" i="2"/>
  <c r="E332" i="2"/>
  <c r="E327" i="2"/>
  <c r="E329" i="2"/>
  <c r="E331" i="2"/>
  <c r="E323" i="2"/>
  <c r="E314" i="2"/>
  <c r="E313" i="2"/>
  <c r="E316" i="2"/>
  <c r="E320" i="2"/>
  <c r="E321" i="2"/>
  <c r="E307" i="2"/>
  <c r="E308" i="2"/>
  <c r="E322" i="2"/>
  <c r="E324" i="2"/>
  <c r="E305" i="2"/>
  <c r="E318" i="2"/>
  <c r="E310" i="2"/>
  <c r="E319" i="2"/>
  <c r="E325" i="2"/>
  <c r="E328" i="2"/>
  <c r="E309" i="2"/>
  <c r="E326" i="2"/>
  <c r="L403" i="2"/>
  <c r="L384" i="2"/>
  <c r="L352" i="2"/>
  <c r="L367" i="2"/>
  <c r="L399" i="2"/>
  <c r="L379" i="2"/>
  <c r="L366" i="2"/>
  <c r="L354" i="2"/>
  <c r="L395" i="2"/>
  <c r="L375" i="2"/>
  <c r="L353" i="2"/>
  <c r="L338" i="2"/>
  <c r="L394" i="2"/>
  <c r="L346" i="2"/>
  <c r="L391" i="2"/>
  <c r="L374" i="2"/>
  <c r="L337" i="2"/>
  <c r="L359" i="2"/>
  <c r="L387" i="2"/>
  <c r="L380" i="2"/>
  <c r="L406" i="2"/>
  <c r="L363" i="2"/>
  <c r="L344" i="2"/>
  <c r="L368" i="2"/>
  <c r="L382" i="2"/>
  <c r="L376" i="2"/>
  <c r="L388" i="2"/>
  <c r="L350" i="2"/>
  <c r="L336" i="2"/>
  <c r="L365" i="2"/>
  <c r="L405" i="2"/>
  <c r="L372" i="2"/>
  <c r="L401" i="2"/>
  <c r="L357" i="2"/>
  <c r="L364" i="2"/>
  <c r="L404" i="2"/>
  <c r="L389" i="2"/>
  <c r="L397" i="2"/>
  <c r="L341" i="2"/>
  <c r="L351" i="2"/>
  <c r="L400" i="2"/>
  <c r="L385" i="2"/>
  <c r="L393" i="2"/>
  <c r="L361" i="2"/>
  <c r="L335" i="2"/>
  <c r="L381" i="2"/>
  <c r="L407" i="2"/>
  <c r="L348" i="2"/>
  <c r="L358" i="2"/>
  <c r="L396" i="2"/>
  <c r="L402" i="2"/>
  <c r="L343" i="2"/>
  <c r="L342" i="2"/>
  <c r="L390" i="2"/>
  <c r="L347" i="2"/>
  <c r="L392" i="2"/>
  <c r="L398" i="2"/>
  <c r="L360" i="2"/>
  <c r="L362" i="2"/>
  <c r="L377" i="2"/>
  <c r="L371" i="2"/>
  <c r="L355" i="2"/>
  <c r="L349" i="2"/>
  <c r="L373" i="2"/>
  <c r="L383" i="2"/>
  <c r="L339" i="2"/>
  <c r="L356" i="2"/>
  <c r="L386" i="2"/>
  <c r="L378" i="2"/>
  <c r="L345" i="2"/>
  <c r="L340" i="2"/>
  <c r="H298" i="2"/>
  <c r="H296" i="2"/>
  <c r="H293" i="2"/>
  <c r="H297" i="2"/>
  <c r="H290" i="2"/>
  <c r="H294" i="2"/>
  <c r="H292" i="2"/>
  <c r="H291" i="2"/>
  <c r="H299" i="2"/>
  <c r="H300" i="2"/>
  <c r="H301" i="2"/>
  <c r="H295" i="2"/>
  <c r="O392" i="6"/>
  <c r="O375" i="6"/>
  <c r="O324" i="6"/>
  <c r="O338" i="6"/>
  <c r="O307" i="6"/>
  <c r="O312" i="6"/>
  <c r="O197" i="6"/>
  <c r="O133" i="6"/>
  <c r="O213" i="6"/>
  <c r="O17" i="6"/>
  <c r="O36" i="6"/>
  <c r="O205" i="6"/>
  <c r="O134" i="6"/>
  <c r="O164" i="6"/>
  <c r="O209" i="6"/>
  <c r="O113" i="6"/>
  <c r="O123" i="6"/>
  <c r="O149" i="6"/>
  <c r="O246" i="6"/>
  <c r="O271" i="6"/>
  <c r="O244" i="6"/>
  <c r="O230" i="6"/>
  <c r="O369" i="6"/>
  <c r="O391" i="6"/>
  <c r="O340" i="6"/>
  <c r="O335" i="6"/>
  <c r="O289" i="6"/>
  <c r="O297" i="6"/>
  <c r="O364" i="6"/>
  <c r="O370" i="6"/>
  <c r="O384" i="6"/>
  <c r="O321" i="6"/>
  <c r="O351" i="6"/>
  <c r="O305" i="6"/>
  <c r="O298" i="6"/>
  <c r="O372" i="6"/>
  <c r="O379" i="6"/>
  <c r="O361" i="6"/>
  <c r="O337" i="6"/>
  <c r="O329" i="6"/>
  <c r="O295" i="6"/>
  <c r="O300" i="6"/>
  <c r="O380" i="6"/>
  <c r="O366" i="6"/>
  <c r="O378" i="6"/>
  <c r="O326" i="6"/>
  <c r="O353" i="6"/>
  <c r="O332" i="6"/>
  <c r="O317" i="6"/>
  <c r="O311" i="6"/>
  <c r="O388" i="6"/>
  <c r="O358" i="6"/>
  <c r="O371" i="6"/>
  <c r="O342" i="6"/>
  <c r="O334" i="6"/>
  <c r="O348" i="6"/>
  <c r="O301" i="6"/>
  <c r="O314" i="6"/>
  <c r="O387" i="6"/>
  <c r="O374" i="6"/>
  <c r="O376" i="6"/>
  <c r="O323" i="6"/>
  <c r="O350" i="6"/>
  <c r="O296" i="6"/>
  <c r="O306" i="6"/>
  <c r="O22" i="6"/>
  <c r="O8" i="6"/>
  <c r="O72" i="6"/>
  <c r="O103" i="6"/>
  <c r="O24" i="6"/>
  <c r="O257" i="6"/>
  <c r="O270" i="6"/>
  <c r="O280" i="6"/>
  <c r="O199" i="6"/>
  <c r="O132" i="6"/>
  <c r="O141" i="6"/>
  <c r="O202" i="6"/>
  <c r="O201" i="6"/>
  <c r="O131" i="6"/>
  <c r="O157" i="6"/>
  <c r="O154" i="6"/>
  <c r="O381" i="6"/>
  <c r="O382" i="6"/>
  <c r="O339" i="6"/>
  <c r="O345" i="6"/>
  <c r="O299" i="6"/>
  <c r="O292" i="6"/>
  <c r="O286" i="6"/>
  <c r="O52" i="6"/>
  <c r="O64" i="6"/>
  <c r="O115" i="6"/>
  <c r="O245" i="6"/>
  <c r="O264" i="6"/>
  <c r="O228" i="6"/>
  <c r="O235" i="6"/>
  <c r="O11" i="6"/>
  <c r="O155" i="6"/>
  <c r="O55" i="6"/>
  <c r="O110" i="6"/>
  <c r="O106" i="6"/>
  <c r="O14" i="6"/>
  <c r="O32" i="6"/>
  <c r="O85" i="6"/>
  <c r="O385" i="6"/>
  <c r="O390" i="6"/>
  <c r="O336" i="6"/>
  <c r="O331" i="6"/>
  <c r="O310" i="6"/>
  <c r="O309" i="6"/>
  <c r="O386" i="6"/>
  <c r="O360" i="6"/>
  <c r="O352" i="6"/>
  <c r="O347" i="6"/>
  <c r="O308" i="6"/>
  <c r="O290" i="6"/>
  <c r="O268" i="6"/>
  <c r="O243" i="6"/>
  <c r="O279" i="6"/>
  <c r="O23" i="6"/>
  <c r="O28" i="6"/>
  <c r="O254" i="6"/>
  <c r="O101" i="6"/>
  <c r="O163" i="6"/>
  <c r="O255" i="6"/>
  <c r="O223" i="6"/>
  <c r="O84" i="6"/>
  <c r="O65" i="6"/>
  <c r="O44" i="6"/>
  <c r="O61" i="6"/>
  <c r="O99" i="6"/>
  <c r="O118" i="6"/>
  <c r="O94" i="6"/>
  <c r="O357" i="6"/>
  <c r="O377" i="6"/>
  <c r="O333" i="6"/>
  <c r="O328" i="6"/>
  <c r="O316" i="6"/>
  <c r="O365" i="6"/>
  <c r="O356" i="6"/>
  <c r="O349" i="6"/>
  <c r="O344" i="6"/>
  <c r="O291" i="6"/>
  <c r="O373" i="6"/>
  <c r="O363" i="6"/>
  <c r="O330" i="6"/>
  <c r="O320" i="6"/>
  <c r="O302" i="6"/>
  <c r="O389" i="6"/>
  <c r="O367" i="6"/>
  <c r="O346" i="6"/>
  <c r="O325" i="6"/>
  <c r="O293" i="6"/>
  <c r="O313" i="6"/>
  <c r="O383" i="6"/>
  <c r="O362" i="6"/>
  <c r="O327" i="6"/>
  <c r="O341" i="6"/>
  <c r="O304" i="6"/>
  <c r="O294" i="6"/>
  <c r="O67" i="6"/>
  <c r="O152" i="6"/>
  <c r="H47" i="2"/>
  <c r="O253" i="6"/>
  <c r="O167" i="6"/>
  <c r="O83" i="6"/>
  <c r="O107" i="6"/>
  <c r="O204" i="6"/>
  <c r="O53" i="6"/>
  <c r="O139" i="6"/>
  <c r="O100" i="6"/>
  <c r="O226" i="6"/>
  <c r="O247" i="6"/>
  <c r="O233" i="6"/>
  <c r="O153" i="6"/>
  <c r="O21" i="6"/>
  <c r="O10" i="6"/>
  <c r="O248" i="6"/>
  <c r="O128" i="6"/>
  <c r="O224" i="6"/>
  <c r="O4" i="6"/>
  <c r="O260" i="6"/>
  <c r="O62" i="6"/>
  <c r="O182" i="6"/>
  <c r="O234" i="6"/>
  <c r="O175" i="6"/>
  <c r="O5" i="6"/>
  <c r="O102" i="6"/>
  <c r="P190" i="6"/>
  <c r="N188" i="6"/>
  <c r="G16" i="2"/>
  <c r="O104" i="6"/>
  <c r="O211" i="6"/>
  <c r="O263" i="6"/>
  <c r="O26" i="6"/>
  <c r="O31" i="6"/>
  <c r="O142" i="6"/>
  <c r="O7" i="6"/>
  <c r="O225" i="6"/>
  <c r="O93" i="6"/>
  <c r="O82" i="6"/>
  <c r="O172" i="6"/>
  <c r="O146" i="6"/>
  <c r="O179" i="6"/>
  <c r="O239" i="6"/>
  <c r="O68" i="6"/>
  <c r="O130" i="6"/>
  <c r="O143" i="6"/>
  <c r="O281" i="6"/>
  <c r="O9" i="6"/>
  <c r="O208" i="6"/>
  <c r="O283" i="6"/>
  <c r="O60" i="6"/>
  <c r="P187" i="6"/>
  <c r="N185" i="6"/>
  <c r="P191" i="6"/>
  <c r="O192" i="6"/>
  <c r="O315" i="6"/>
  <c r="O282" i="6"/>
  <c r="O90" i="6"/>
  <c r="O59" i="6"/>
  <c r="H51" i="2"/>
  <c r="O69" i="6"/>
  <c r="O108" i="6"/>
  <c r="O216" i="6"/>
  <c r="O258" i="6"/>
  <c r="O203" i="6"/>
  <c r="O165" i="6"/>
  <c r="O242" i="6"/>
  <c r="O76" i="6"/>
  <c r="E16" i="2"/>
  <c r="G15" i="2"/>
  <c r="O187" i="6"/>
  <c r="O343" i="6"/>
  <c r="O303" i="6"/>
  <c r="O261" i="6"/>
  <c r="O174" i="6"/>
  <c r="O43" i="6"/>
  <c r="O117" i="6"/>
  <c r="O170" i="6"/>
  <c r="O122" i="6"/>
  <c r="O40" i="6"/>
  <c r="O266" i="6"/>
  <c r="O119" i="6"/>
  <c r="O148" i="6"/>
  <c r="O222" i="6"/>
  <c r="O96" i="6"/>
  <c r="O322" i="6"/>
  <c r="O241" i="6"/>
  <c r="O206" i="6"/>
  <c r="O210" i="6"/>
  <c r="O162" i="6"/>
  <c r="O238" i="6"/>
  <c r="O218" i="6"/>
  <c r="O70" i="6"/>
  <c r="O237" i="6"/>
  <c r="O135" i="6"/>
  <c r="O166" i="6"/>
  <c r="O39" i="6"/>
  <c r="O150" i="6"/>
  <c r="D102" i="2"/>
  <c r="O368" i="6"/>
  <c r="O272" i="6"/>
  <c r="O98" i="6"/>
  <c r="H50" i="2"/>
  <c r="O25" i="6"/>
  <c r="O109" i="6"/>
  <c r="O151" i="6"/>
  <c r="O284" i="6"/>
  <c r="H101" i="2"/>
  <c r="O198" i="6"/>
  <c r="O285" i="6"/>
  <c r="O159" i="6"/>
  <c r="O16" i="6"/>
  <c r="O359" i="6"/>
  <c r="O54" i="6"/>
  <c r="O183" i="6"/>
  <c r="O236" i="6"/>
  <c r="O145" i="6"/>
  <c r="O212" i="6"/>
  <c r="O140" i="6"/>
  <c r="O227" i="6"/>
  <c r="O171" i="6"/>
  <c r="O80" i="6"/>
  <c r="O262" i="6"/>
  <c r="O79" i="6"/>
  <c r="O125" i="6"/>
  <c r="N191" i="6"/>
  <c r="N189" i="6"/>
  <c r="O30" i="6"/>
  <c r="O219" i="6"/>
  <c r="O251" i="6"/>
  <c r="O37" i="6"/>
  <c r="O75" i="6"/>
  <c r="O29" i="6"/>
  <c r="O267" i="6"/>
  <c r="O41" i="6"/>
  <c r="O57" i="6"/>
  <c r="O105" i="6"/>
  <c r="O86" i="6"/>
  <c r="B16" i="2"/>
  <c r="O188" i="6"/>
  <c r="O56" i="6"/>
  <c r="O38" i="6"/>
  <c r="O147" i="6"/>
  <c r="O89" i="6"/>
  <c r="O74" i="6"/>
  <c r="O92" i="6"/>
  <c r="O161" i="6"/>
  <c r="O126" i="6"/>
  <c r="O168" i="6"/>
  <c r="O214" i="6"/>
  <c r="O15" i="6"/>
  <c r="O97" i="6"/>
  <c r="O269" i="6"/>
  <c r="O71" i="6"/>
  <c r="O229" i="6"/>
  <c r="O19" i="6"/>
  <c r="O207" i="6"/>
  <c r="H102" i="2"/>
  <c r="O51" i="6"/>
  <c r="O215" i="6"/>
  <c r="O49" i="6"/>
  <c r="O81" i="6"/>
  <c r="N193" i="6"/>
  <c r="N192" i="6"/>
  <c r="O12" i="6"/>
  <c r="O231" i="6"/>
  <c r="O120" i="6"/>
  <c r="O63" i="6"/>
  <c r="O177" i="6"/>
  <c r="O265" i="6"/>
  <c r="O116" i="6"/>
  <c r="O27" i="6"/>
  <c r="O277" i="6"/>
  <c r="O173" i="6"/>
  <c r="O73" i="6"/>
  <c r="P194" i="6"/>
  <c r="N186" i="6"/>
  <c r="O181" i="6"/>
  <c r="O240" i="6"/>
  <c r="O124" i="6"/>
  <c r="O160" i="6"/>
  <c r="O127" i="6"/>
  <c r="O50" i="6"/>
  <c r="O121" i="6"/>
  <c r="O129" i="6"/>
  <c r="O250" i="6"/>
  <c r="O91" i="6"/>
  <c r="O278" i="6"/>
  <c r="O3" i="6"/>
  <c r="O232" i="6"/>
  <c r="O180" i="6"/>
  <c r="O66" i="6"/>
  <c r="O144" i="6"/>
  <c r="O176" i="6"/>
  <c r="O200" i="6"/>
  <c r="O114" i="6"/>
  <c r="O6" i="6"/>
  <c r="O88" i="6"/>
  <c r="O249" i="6"/>
  <c r="O256" i="6"/>
  <c r="O20" i="6"/>
  <c r="O217" i="6"/>
  <c r="O95" i="6"/>
  <c r="O178" i="6"/>
  <c r="O34" i="6"/>
  <c r="O77" i="6"/>
  <c r="O33" i="6"/>
  <c r="O156" i="6"/>
  <c r="O169" i="6"/>
  <c r="O259" i="6"/>
  <c r="O252" i="6"/>
  <c r="O78" i="6"/>
  <c r="O13" i="6"/>
  <c r="O42" i="6"/>
  <c r="O276" i="6"/>
  <c r="O18" i="6"/>
  <c r="O58" i="6"/>
  <c r="O275" i="6"/>
  <c r="O158" i="6"/>
  <c r="O87" i="6"/>
  <c r="O35" i="6"/>
  <c r="O185" i="6"/>
  <c r="N190" i="6"/>
  <c r="N194" i="6"/>
  <c r="B17" i="2"/>
  <c r="P189" i="6"/>
  <c r="O194" i="6"/>
  <c r="O189" i="6"/>
  <c r="N187" i="6"/>
  <c r="O191" i="6"/>
  <c r="O186" i="6"/>
  <c r="P186" i="6"/>
  <c r="B18" i="2"/>
  <c r="O193" i="6"/>
  <c r="O190" i="6"/>
  <c r="E15" i="2"/>
  <c r="B15" i="2"/>
  <c r="P185" i="6"/>
  <c r="D101" i="2"/>
  <c r="P193" i="6"/>
  <c r="P188" i="6"/>
  <c r="P192" i="6"/>
  <c r="H66" i="2"/>
  <c r="H107" i="2"/>
  <c r="H96" i="2"/>
  <c r="H80" i="2"/>
  <c r="H88" i="2"/>
  <c r="H98" i="2"/>
  <c r="H118" i="2"/>
  <c r="H122" i="2"/>
  <c r="H67" i="2"/>
  <c r="H108" i="2"/>
  <c r="H117" i="2"/>
  <c r="H93" i="2"/>
  <c r="H105" i="2"/>
  <c r="H121" i="2"/>
  <c r="H103" i="2"/>
  <c r="H76" i="2"/>
  <c r="H75" i="2"/>
  <c r="H78" i="2"/>
  <c r="H111" i="2"/>
  <c r="H87" i="2"/>
  <c r="H119" i="2"/>
  <c r="H90" i="2"/>
  <c r="H69" i="2"/>
  <c r="H72" i="2"/>
  <c r="H89" i="2"/>
  <c r="H85" i="2"/>
  <c r="H110" i="2"/>
  <c r="H112" i="2"/>
  <c r="H79" i="2"/>
  <c r="H113" i="2"/>
  <c r="H83" i="2"/>
  <c r="H123" i="2"/>
  <c r="H81" i="2"/>
  <c r="R108" i="2"/>
  <c r="H65" i="2"/>
  <c r="H120" i="2"/>
  <c r="H91" i="2"/>
  <c r="H73" i="2"/>
  <c r="H86" i="2"/>
  <c r="H125" i="2"/>
  <c r="H106" i="2"/>
  <c r="H126" i="2"/>
  <c r="H94" i="2"/>
  <c r="H70" i="2"/>
  <c r="H77" i="2"/>
  <c r="H100" i="2"/>
  <c r="H95" i="2"/>
  <c r="H124" i="2"/>
  <c r="H115" i="2"/>
  <c r="H82" i="2"/>
  <c r="H71" i="2"/>
  <c r="H99" i="2"/>
  <c r="H104" i="2"/>
  <c r="H109" i="2"/>
  <c r="H97" i="2"/>
  <c r="H74" i="2"/>
  <c r="H68" i="2"/>
  <c r="H92" i="2"/>
  <c r="H114" i="2"/>
  <c r="H116" i="2"/>
  <c r="H84" i="2"/>
  <c r="H281" i="2"/>
  <c r="H284" i="2"/>
  <c r="H266" i="2"/>
  <c r="H273" i="2"/>
  <c r="H265" i="2"/>
  <c r="H277" i="2"/>
  <c r="H271" i="2"/>
  <c r="H279" i="2"/>
  <c r="H278" i="2"/>
  <c r="H280" i="2"/>
  <c r="H282" i="2"/>
  <c r="H269" i="2"/>
  <c r="H287" i="2"/>
  <c r="H274" i="2"/>
  <c r="H286" i="2"/>
  <c r="H275" i="2"/>
  <c r="H276" i="2"/>
  <c r="H267" i="2"/>
  <c r="H272" i="2"/>
  <c r="H270" i="2"/>
  <c r="H268" i="2"/>
  <c r="H285" i="2"/>
  <c r="H283" i="2"/>
  <c r="H21" i="2"/>
  <c r="H54" i="2"/>
  <c r="H23" i="2"/>
  <c r="H33" i="2"/>
  <c r="H38" i="2"/>
  <c r="H31" i="2"/>
  <c r="H45" i="2"/>
  <c r="H24" i="2"/>
  <c r="H53" i="2"/>
  <c r="H26" i="2"/>
  <c r="H48" i="2"/>
  <c r="H60" i="2"/>
  <c r="H41" i="2"/>
  <c r="H28" i="2"/>
  <c r="H40" i="2"/>
  <c r="H39" i="2"/>
  <c r="H34" i="2"/>
  <c r="H62" i="2"/>
  <c r="H52" i="2"/>
  <c r="H43" i="2"/>
  <c r="H56" i="2"/>
  <c r="H57" i="2"/>
  <c r="H49" i="2"/>
  <c r="H27" i="2"/>
  <c r="H36" i="2"/>
  <c r="H55" i="2"/>
  <c r="H25" i="2"/>
  <c r="H32" i="2"/>
  <c r="H30" i="2"/>
  <c r="H42" i="2"/>
  <c r="H46" i="2"/>
  <c r="H22" i="2"/>
  <c r="H44" i="2"/>
  <c r="H29" i="2"/>
  <c r="H61" i="2"/>
  <c r="H37" i="2"/>
  <c r="H35" i="2"/>
  <c r="H58" i="2"/>
  <c r="H59" i="2"/>
  <c r="H177" i="2"/>
  <c r="H166" i="2"/>
  <c r="H134" i="2"/>
  <c r="H170" i="2"/>
  <c r="H181" i="2"/>
  <c r="H180" i="2"/>
  <c r="H136" i="2"/>
  <c r="H137" i="2"/>
  <c r="H133" i="2"/>
  <c r="H172" i="2"/>
  <c r="H141" i="2"/>
  <c r="H153" i="2"/>
  <c r="H155" i="2"/>
  <c r="H167" i="2"/>
  <c r="H143" i="2"/>
  <c r="H147" i="2"/>
  <c r="H169" i="2"/>
  <c r="H162" i="2"/>
  <c r="H156" i="2"/>
  <c r="H146" i="2"/>
  <c r="H182" i="2"/>
  <c r="H163" i="2"/>
  <c r="H158" i="2"/>
  <c r="H131" i="2"/>
  <c r="H140" i="2"/>
  <c r="H154" i="2"/>
  <c r="H161" i="2"/>
  <c r="H160" i="2"/>
  <c r="H171" i="2"/>
  <c r="H149" i="2"/>
  <c r="H138" i="2"/>
  <c r="H132" i="2"/>
  <c r="H130" i="2"/>
  <c r="H178" i="2"/>
  <c r="H144" i="2"/>
  <c r="H129" i="2"/>
  <c r="H142" i="2"/>
  <c r="H145" i="2"/>
  <c r="H152" i="2"/>
  <c r="H148" i="2"/>
  <c r="H174" i="2"/>
  <c r="H176" i="2"/>
  <c r="H183" i="2"/>
  <c r="H157" i="2"/>
  <c r="H173" i="2"/>
  <c r="H135" i="2"/>
  <c r="H165" i="2"/>
  <c r="H159" i="2"/>
  <c r="H150" i="2"/>
  <c r="H168" i="2"/>
  <c r="H151" i="2"/>
  <c r="H164" i="2"/>
  <c r="H179" i="2"/>
  <c r="H175" i="2"/>
  <c r="H139" i="2"/>
  <c r="H393" i="2"/>
  <c r="H406" i="2"/>
  <c r="H352" i="2"/>
  <c r="H366" i="2"/>
  <c r="H385" i="2"/>
  <c r="H389" i="2"/>
  <c r="H373" i="2"/>
  <c r="H359" i="2"/>
  <c r="H353" i="2"/>
  <c r="H391" i="2"/>
  <c r="H374" i="2"/>
  <c r="H407" i="2"/>
  <c r="H343" i="2"/>
  <c r="H337" i="2"/>
  <c r="H387" i="2"/>
  <c r="H376" i="2"/>
  <c r="H388" i="2"/>
  <c r="H363" i="2"/>
  <c r="H344" i="2"/>
  <c r="H380" i="2"/>
  <c r="H384" i="2"/>
  <c r="H372" i="2"/>
  <c r="H350" i="2"/>
  <c r="H364" i="2"/>
  <c r="H371" i="2"/>
  <c r="H402" i="2"/>
  <c r="H383" i="2"/>
  <c r="H357" i="2"/>
  <c r="H360" i="2"/>
  <c r="H398" i="2"/>
  <c r="H392" i="2"/>
  <c r="H341" i="2"/>
  <c r="H351" i="2"/>
  <c r="H378" i="2"/>
  <c r="H382" i="2"/>
  <c r="H354" i="2"/>
  <c r="H335" i="2"/>
  <c r="H399" i="2"/>
  <c r="H403" i="2"/>
  <c r="H361" i="2"/>
  <c r="H338" i="2"/>
  <c r="H396" i="2"/>
  <c r="H386" i="2"/>
  <c r="H348" i="2"/>
  <c r="H358" i="2"/>
  <c r="H390" i="2"/>
  <c r="H379" i="2"/>
  <c r="H355" i="2"/>
  <c r="H342" i="2"/>
  <c r="H377" i="2"/>
  <c r="H397" i="2"/>
  <c r="H339" i="2"/>
  <c r="H336" i="2"/>
  <c r="H375" i="2"/>
  <c r="H404" i="2"/>
  <c r="H367" i="2"/>
  <c r="H362" i="2"/>
  <c r="H400" i="2"/>
  <c r="H381" i="2"/>
  <c r="H346" i="2"/>
  <c r="H349" i="2"/>
  <c r="H395" i="2"/>
  <c r="H394" i="2"/>
  <c r="H345" i="2"/>
  <c r="H347" i="2"/>
  <c r="H356" i="2"/>
  <c r="H340" i="2"/>
  <c r="H401" i="2"/>
  <c r="H405" i="2"/>
  <c r="H365" i="2"/>
  <c r="H368" i="2"/>
  <c r="H322" i="2"/>
  <c r="H329" i="2"/>
  <c r="H309" i="2"/>
  <c r="H326" i="2"/>
  <c r="H324" i="2"/>
  <c r="H312" i="2"/>
  <c r="H316" i="2"/>
  <c r="H315" i="2"/>
  <c r="H318" i="2"/>
  <c r="H305" i="2"/>
  <c r="H320" i="2"/>
  <c r="H328" i="2"/>
  <c r="H307" i="2"/>
  <c r="H331" i="2"/>
  <c r="H306" i="2"/>
  <c r="H314" i="2"/>
  <c r="H313" i="2"/>
  <c r="H310" i="2"/>
  <c r="H308" i="2"/>
  <c r="H325" i="2"/>
  <c r="H323" i="2"/>
  <c r="H330" i="2"/>
  <c r="H332" i="2"/>
  <c r="H317" i="2"/>
  <c r="H327" i="2"/>
  <c r="H311" i="2"/>
  <c r="H319" i="2"/>
  <c r="H321" i="2"/>
  <c r="H304" i="2"/>
  <c r="H219" i="2"/>
  <c r="H261" i="2"/>
  <c r="H246" i="2"/>
  <c r="H249" i="2"/>
  <c r="H213" i="2"/>
  <c r="H237" i="2"/>
  <c r="H221" i="2"/>
  <c r="H218" i="2"/>
  <c r="H220" i="2"/>
  <c r="H252" i="2"/>
  <c r="H217" i="2"/>
  <c r="H229" i="2"/>
  <c r="H216" i="2"/>
  <c r="H242" i="2"/>
  <c r="H227" i="2"/>
  <c r="H225" i="2"/>
  <c r="H239" i="2"/>
  <c r="H253" i="2"/>
  <c r="H222" i="2"/>
  <c r="H231" i="2"/>
  <c r="H262" i="2"/>
  <c r="H228" i="2"/>
  <c r="H256" i="2"/>
  <c r="H258" i="2"/>
  <c r="H241" i="2"/>
  <c r="H245" i="2"/>
  <c r="H226" i="2"/>
  <c r="H233" i="2"/>
  <c r="H255" i="2"/>
  <c r="H223" i="2"/>
  <c r="H235" i="2"/>
  <c r="H224" i="2"/>
  <c r="H260" i="2"/>
  <c r="H238" i="2"/>
  <c r="H248" i="2"/>
  <c r="H257" i="2"/>
  <c r="H212" i="2"/>
  <c r="H250" i="2"/>
  <c r="H215" i="2"/>
  <c r="H240" i="2"/>
  <c r="H230" i="2"/>
  <c r="H214" i="2"/>
  <c r="H243" i="2"/>
  <c r="H236" i="2"/>
  <c r="H234" i="2"/>
  <c r="H244" i="2"/>
  <c r="H251" i="2"/>
  <c r="H247" i="2"/>
  <c r="H232" i="2"/>
  <c r="H254" i="2"/>
  <c r="H259" i="2"/>
  <c r="H207" i="2"/>
  <c r="H204" i="2"/>
  <c r="H195" i="2"/>
  <c r="H201" i="2"/>
  <c r="H205" i="2"/>
  <c r="H196" i="2"/>
  <c r="H190" i="2"/>
  <c r="H199" i="2"/>
  <c r="H203" i="2"/>
  <c r="H191" i="2"/>
  <c r="H209" i="2"/>
  <c r="H202" i="2"/>
  <c r="H206" i="2"/>
  <c r="H208" i="2"/>
  <c r="H192" i="2"/>
  <c r="H189" i="2"/>
  <c r="H188" i="2"/>
  <c r="H194" i="2"/>
  <c r="H193" i="2"/>
  <c r="H187" i="2"/>
  <c r="H200" i="2"/>
  <c r="H198" i="2"/>
  <c r="H197" i="2"/>
  <c r="N359" i="2"/>
  <c r="N364" i="2"/>
  <c r="N355" i="2"/>
  <c r="N341" i="2"/>
  <c r="N354" i="2"/>
  <c r="N348" i="2"/>
  <c r="N357" i="2"/>
  <c r="N339" i="2"/>
  <c r="N361" i="2"/>
  <c r="N340" i="2"/>
  <c r="N367" i="2"/>
  <c r="N358" i="2"/>
  <c r="N396" i="2"/>
  <c r="N356" i="2"/>
  <c r="N344" i="2"/>
  <c r="N392" i="2"/>
  <c r="N349" i="2"/>
  <c r="N391" i="2"/>
  <c r="N362" i="2"/>
  <c r="N347" i="2"/>
  <c r="N386" i="2"/>
  <c r="N368" i="2"/>
  <c r="N337" i="2"/>
  <c r="N395" i="2"/>
  <c r="N352" i="2"/>
  <c r="N394" i="2"/>
  <c r="N350" i="2"/>
  <c r="N360" i="2"/>
  <c r="N390" i="2"/>
  <c r="N336" i="2"/>
  <c r="N365" i="2"/>
  <c r="N353" i="2"/>
  <c r="N389" i="2"/>
  <c r="N342" i="2"/>
  <c r="N388" i="2"/>
  <c r="N335" i="2"/>
  <c r="N397" i="2"/>
  <c r="N346" i="2"/>
  <c r="N343" i="2"/>
  <c r="N393" i="2"/>
  <c r="N351" i="2"/>
  <c r="N363" i="2"/>
  <c r="N387" i="2"/>
  <c r="N366" i="2"/>
  <c r="N345" i="2"/>
  <c r="N338" i="2"/>
  <c r="K400" i="2"/>
  <c r="K407" i="2"/>
  <c r="K341" i="2"/>
  <c r="K342" i="2"/>
  <c r="K373" i="2"/>
  <c r="K384" i="2"/>
  <c r="K361" i="2"/>
  <c r="K362" i="2"/>
  <c r="K389" i="2"/>
  <c r="K379" i="2"/>
  <c r="K348" i="2"/>
  <c r="K349" i="2"/>
  <c r="K392" i="2"/>
  <c r="K374" i="2"/>
  <c r="K355" i="2"/>
  <c r="K352" i="2"/>
  <c r="K377" i="2"/>
  <c r="K402" i="2"/>
  <c r="K339" i="2"/>
  <c r="K356" i="2"/>
  <c r="K381" i="2"/>
  <c r="K398" i="2"/>
  <c r="K336" i="2"/>
  <c r="K340" i="2"/>
  <c r="K390" i="2"/>
  <c r="K371" i="2"/>
  <c r="K346" i="2"/>
  <c r="K338" i="2"/>
  <c r="K386" i="2"/>
  <c r="K375" i="2"/>
  <c r="K366" i="2"/>
  <c r="K368" i="2"/>
  <c r="K403" i="2"/>
  <c r="K383" i="2"/>
  <c r="K353" i="2"/>
  <c r="K347" i="2"/>
  <c r="K399" i="2"/>
  <c r="K394" i="2"/>
  <c r="K337" i="2"/>
  <c r="K367" i="2"/>
  <c r="K395" i="2"/>
  <c r="K393" i="2"/>
  <c r="K359" i="2"/>
  <c r="K335" i="2"/>
  <c r="K354" i="2"/>
  <c r="K405" i="2"/>
  <c r="K391" i="2"/>
  <c r="K406" i="2"/>
  <c r="K343" i="2"/>
  <c r="K344" i="2"/>
  <c r="K365" i="2"/>
  <c r="K387" i="2"/>
  <c r="K380" i="2"/>
  <c r="K388" i="2"/>
  <c r="K350" i="2"/>
  <c r="K364" i="2"/>
  <c r="K382" i="2"/>
  <c r="K376" i="2"/>
  <c r="K397" i="2"/>
  <c r="K363" i="2"/>
  <c r="K351" i="2"/>
  <c r="K396" i="2"/>
  <c r="K372" i="2"/>
  <c r="K401" i="2"/>
  <c r="K360" i="2"/>
  <c r="K345" i="2"/>
  <c r="K357" i="2"/>
  <c r="K404" i="2"/>
  <c r="K358" i="2"/>
  <c r="K385" i="2"/>
  <c r="K378" i="2"/>
  <c r="L313" i="2"/>
  <c r="L311" i="2"/>
  <c r="L310" i="2"/>
  <c r="L307" i="2"/>
  <c r="L332" i="2"/>
  <c r="L316" i="2"/>
  <c r="L315" i="2"/>
  <c r="L319" i="2"/>
  <c r="L318" i="2"/>
  <c r="L304" i="2"/>
  <c r="L317" i="2"/>
  <c r="L322" i="2"/>
  <c r="L314" i="2"/>
  <c r="L330" i="2"/>
  <c r="L309" i="2"/>
  <c r="L329" i="2"/>
  <c r="L306" i="2"/>
  <c r="L325" i="2"/>
  <c r="L321" i="2"/>
  <c r="L326" i="2"/>
  <c r="L312" i="2"/>
  <c r="L308" i="2"/>
  <c r="L327" i="2"/>
  <c r="L320" i="2"/>
  <c r="L328" i="2"/>
  <c r="L324" i="2"/>
  <c r="L331" i="2"/>
  <c r="L323" i="2"/>
  <c r="L305" i="2"/>
  <c r="P216" i="2" l="1"/>
  <c r="R216" i="2" s="1"/>
  <c r="P211" i="2"/>
  <c r="R211" i="2" s="1"/>
  <c r="P257" i="6" s="1"/>
  <c r="I8" i="1"/>
  <c r="I7" i="1"/>
  <c r="G8" i="1"/>
  <c r="P209" i="2"/>
  <c r="R209" i="2" s="1"/>
  <c r="P262" i="6" s="1"/>
  <c r="S262" i="6" s="1"/>
  <c r="L252" i="17" s="1"/>
  <c r="R25" i="2"/>
  <c r="Q25" i="2" s="1"/>
  <c r="P25" i="2" s="1"/>
  <c r="P12" i="6" s="1"/>
  <c r="S12" i="6" s="1"/>
  <c r="S209" i="6"/>
  <c r="T118" i="2"/>
  <c r="S276" i="6"/>
  <c r="S223" i="6"/>
  <c r="P214" i="2"/>
  <c r="R214" i="2" s="1"/>
  <c r="P271" i="6" s="1"/>
  <c r="S271" i="6" s="1"/>
  <c r="M51" i="12" s="1"/>
  <c r="S230" i="6"/>
  <c r="D226" i="2"/>
  <c r="K226" i="17" s="1"/>
  <c r="S298" i="6"/>
  <c r="Q101" i="2"/>
  <c r="P101" i="2" s="1"/>
  <c r="O101" i="2" s="1"/>
  <c r="D92" i="2"/>
  <c r="I29" i="5" s="1"/>
  <c r="S178" i="6"/>
  <c r="L168" i="17" s="1"/>
  <c r="S344" i="6"/>
  <c r="M26" i="19" s="1"/>
  <c r="S309" i="6"/>
  <c r="L324" i="17" s="1"/>
  <c r="D259" i="2"/>
  <c r="H49" i="12" s="1"/>
  <c r="D135" i="2"/>
  <c r="K135" i="17" s="1"/>
  <c r="S95" i="6"/>
  <c r="L111" i="17" s="1"/>
  <c r="D232" i="2"/>
  <c r="K232" i="17" s="1"/>
  <c r="D69" i="2"/>
  <c r="K69" i="17" s="1"/>
  <c r="S5" i="6"/>
  <c r="L23" i="17" s="1"/>
  <c r="S313" i="6"/>
  <c r="P213" i="2"/>
  <c r="R213" i="2" s="1"/>
  <c r="P260" i="6" s="1"/>
  <c r="S260" i="6" s="1"/>
  <c r="D30" i="2"/>
  <c r="D41" i="2"/>
  <c r="S389" i="6"/>
  <c r="L403" i="17" s="1"/>
  <c r="S106" i="6"/>
  <c r="M59" i="5" s="1"/>
  <c r="D181" i="2"/>
  <c r="H55" i="9" s="1"/>
  <c r="S150" i="6"/>
  <c r="L140" i="17" s="1"/>
  <c r="D198" i="2"/>
  <c r="H13" i="10" s="1"/>
  <c r="D220" i="2"/>
  <c r="K220" i="17" s="1"/>
  <c r="D267" i="2"/>
  <c r="K267" i="17" s="1"/>
  <c r="D284" i="2"/>
  <c r="K284" i="17" s="1"/>
  <c r="S375" i="6"/>
  <c r="L389" i="17" s="1"/>
  <c r="R21" i="2"/>
  <c r="Q21" i="2" s="1"/>
  <c r="P21" i="2" s="1"/>
  <c r="D361" i="2"/>
  <c r="K361" i="17" s="1"/>
  <c r="S278" i="6"/>
  <c r="M5" i="15" s="1"/>
  <c r="S340" i="6"/>
  <c r="S53" i="6"/>
  <c r="D179" i="2"/>
  <c r="S118" i="6"/>
  <c r="L192" i="17" s="1"/>
  <c r="D270" i="2"/>
  <c r="K270" i="17" s="1"/>
  <c r="S242" i="6"/>
  <c r="M22" i="12" s="1"/>
  <c r="S372" i="6"/>
  <c r="L386" i="17" s="1"/>
  <c r="D217" i="2"/>
  <c r="H7" i="12" s="1"/>
  <c r="D32" i="2"/>
  <c r="I13" i="8" s="1"/>
  <c r="S324" i="6"/>
  <c r="L339" i="17" s="1"/>
  <c r="S11" i="6"/>
  <c r="N10" i="8" s="1"/>
  <c r="D52" i="2"/>
  <c r="I33" i="8" s="1"/>
  <c r="D23" i="2"/>
  <c r="I4" i="8" s="1"/>
  <c r="D86" i="2"/>
  <c r="K86" i="17" s="1"/>
  <c r="S171" i="6"/>
  <c r="M34" i="9" s="1"/>
  <c r="S210" i="6"/>
  <c r="L15" i="14" s="1"/>
  <c r="S100" i="6"/>
  <c r="S383" i="6"/>
  <c r="S300" i="6"/>
  <c r="S42" i="6"/>
  <c r="L60" i="17" s="1"/>
  <c r="S34" i="6"/>
  <c r="P265" i="6"/>
  <c r="S265" i="6" s="1"/>
  <c r="P267" i="6"/>
  <c r="S267" i="6" s="1"/>
  <c r="L257" i="17" s="1"/>
  <c r="P268" i="6"/>
  <c r="S268" i="6" s="1"/>
  <c r="L258" i="17" s="1"/>
  <c r="P266" i="6"/>
  <c r="S266" i="6" s="1"/>
  <c r="D62" i="2"/>
  <c r="K62" i="17" s="1"/>
  <c r="S316" i="6"/>
  <c r="N29" i="16" s="1"/>
  <c r="S52" i="6"/>
  <c r="L68" i="17" s="1"/>
  <c r="D44" i="2"/>
  <c r="K44" i="17" s="1"/>
  <c r="D104" i="2"/>
  <c r="I41" i="5" s="1"/>
  <c r="S28" i="6"/>
  <c r="N27" i="8" s="1"/>
  <c r="S391" i="6"/>
  <c r="L405" i="17" s="1"/>
  <c r="D216" i="2"/>
  <c r="S96" i="6"/>
  <c r="S225" i="6"/>
  <c r="S299" i="6"/>
  <c r="D240" i="2"/>
  <c r="H30" i="12" s="1"/>
  <c r="D26" i="2"/>
  <c r="I7" i="8" s="1"/>
  <c r="S215" i="6"/>
  <c r="L283" i="17" s="1"/>
  <c r="S122" i="6"/>
  <c r="M11" i="10" s="1"/>
  <c r="S211" i="6"/>
  <c r="L16" i="14" s="1"/>
  <c r="S332" i="6"/>
  <c r="L347" i="17" s="1"/>
  <c r="S370" i="6"/>
  <c r="L384" i="17" s="1"/>
  <c r="D142" i="2"/>
  <c r="H15" i="9" s="1"/>
  <c r="D124" i="2"/>
  <c r="K124" i="17" s="1"/>
  <c r="S283" i="6"/>
  <c r="M10" i="15" s="1"/>
  <c r="D170" i="2"/>
  <c r="H43" i="9" s="1"/>
  <c r="S219" i="6"/>
  <c r="L24" i="14" s="1"/>
  <c r="S308" i="6"/>
  <c r="S381" i="6"/>
  <c r="S10" i="6"/>
  <c r="D195" i="2"/>
  <c r="H10" i="10" s="1"/>
  <c r="D237" i="2"/>
  <c r="H27" i="12" s="1"/>
  <c r="D177" i="2"/>
  <c r="K177" i="17" s="1"/>
  <c r="D27" i="2"/>
  <c r="K27" i="17" s="1"/>
  <c r="D93" i="2"/>
  <c r="I30" i="5" s="1"/>
  <c r="S285" i="6"/>
  <c r="M12" i="15" s="1"/>
  <c r="S237" i="6"/>
  <c r="L227" i="17" s="1"/>
  <c r="S108" i="6"/>
  <c r="M61" i="5" s="1"/>
  <c r="S360" i="6"/>
  <c r="L374" i="17" s="1"/>
  <c r="S350" i="6"/>
  <c r="M32" i="19" s="1"/>
  <c r="S248" i="6"/>
  <c r="L238" i="17" s="1"/>
  <c r="D36" i="2"/>
  <c r="K35" i="17" s="1"/>
  <c r="S296" i="6"/>
  <c r="N9" i="16" s="1"/>
  <c r="D212" i="2"/>
  <c r="D213" i="2"/>
  <c r="D132" i="2"/>
  <c r="D147" i="2"/>
  <c r="H20" i="9" s="1"/>
  <c r="S326" i="6"/>
  <c r="L341" i="17" s="1"/>
  <c r="P290" i="2"/>
  <c r="D290" i="2" s="1"/>
  <c r="H2" i="15" s="1"/>
  <c r="D241" i="2"/>
  <c r="K241" i="17" s="1"/>
  <c r="S156" i="6"/>
  <c r="L146" i="17" s="1"/>
  <c r="D231" i="2"/>
  <c r="H21" i="12" s="1"/>
  <c r="D165" i="2"/>
  <c r="K165" i="17" s="1"/>
  <c r="S284" i="6"/>
  <c r="L299" i="17" s="1"/>
  <c r="S247" i="6"/>
  <c r="L237" i="17" s="1"/>
  <c r="S245" i="6"/>
  <c r="M25" i="12" s="1"/>
  <c r="S205" i="6"/>
  <c r="L273" i="17" s="1"/>
  <c r="R29" i="2"/>
  <c r="Q29" i="2" s="1"/>
  <c r="P29" i="2" s="1"/>
  <c r="P29" i="6" s="1"/>
  <c r="S29" i="6" s="1"/>
  <c r="L47" i="17" s="1"/>
  <c r="D48" i="2"/>
  <c r="I29" i="8" s="1"/>
  <c r="D31" i="2"/>
  <c r="S233" i="6"/>
  <c r="D248" i="2"/>
  <c r="D56" i="2"/>
  <c r="I37" i="8" s="1"/>
  <c r="D106" i="2"/>
  <c r="K106" i="17" s="1"/>
  <c r="D67" i="2"/>
  <c r="K67" i="17" s="1"/>
  <c r="D43" i="2"/>
  <c r="I24" i="8" s="1"/>
  <c r="D72" i="2"/>
  <c r="I9" i="5" s="1"/>
  <c r="D122" i="2"/>
  <c r="I59" i="5" s="1"/>
  <c r="S331" i="6"/>
  <c r="L346" i="17" s="1"/>
  <c r="S289" i="6"/>
  <c r="N2" i="16" s="1"/>
  <c r="S343" i="6"/>
  <c r="M25" i="19" s="1"/>
  <c r="S295" i="6"/>
  <c r="N8" i="16" s="1"/>
  <c r="S140" i="6"/>
  <c r="L130" i="17" s="1"/>
  <c r="S82" i="6"/>
  <c r="M35" i="5" s="1"/>
  <c r="D242" i="2"/>
  <c r="H32" i="12" s="1"/>
  <c r="D174" i="2"/>
  <c r="D140" i="2"/>
  <c r="D22" i="2"/>
  <c r="D271" i="2"/>
  <c r="K271" i="17" s="1"/>
  <c r="D87" i="2"/>
  <c r="I24" i="5" s="1"/>
  <c r="D80" i="2"/>
  <c r="I17" i="5" s="1"/>
  <c r="S231" i="6"/>
  <c r="M11" i="12" s="1"/>
  <c r="S292" i="6"/>
  <c r="N5" i="16" s="1"/>
  <c r="S337" i="6"/>
  <c r="M19" i="19" s="1"/>
  <c r="D141" i="2"/>
  <c r="H14" i="9" s="1"/>
  <c r="D50" i="2"/>
  <c r="K50" i="17" s="1"/>
  <c r="S385" i="6"/>
  <c r="N31" i="20" s="1"/>
  <c r="D137" i="2"/>
  <c r="H10" i="9" s="1"/>
  <c r="D40" i="2"/>
  <c r="I20" i="8" s="1"/>
  <c r="S346" i="6"/>
  <c r="L361" i="17" s="1"/>
  <c r="S377" i="6"/>
  <c r="L391" i="17" s="1"/>
  <c r="S279" i="6"/>
  <c r="S361" i="6"/>
  <c r="D214" i="2"/>
  <c r="S175" i="6"/>
  <c r="M38" i="9" s="1"/>
  <c r="S15" i="6"/>
  <c r="N14" i="8" s="1"/>
  <c r="D78" i="2"/>
  <c r="I15" i="5" s="1"/>
  <c r="D107" i="2"/>
  <c r="K107" i="17" s="1"/>
  <c r="S222" i="6"/>
  <c r="L212" i="17" s="1"/>
  <c r="S345" i="6"/>
  <c r="M27" i="19" s="1"/>
  <c r="S371" i="6"/>
  <c r="L385" i="17" s="1"/>
  <c r="D111" i="2"/>
  <c r="I48" i="5" s="1"/>
  <c r="D149" i="2"/>
  <c r="H22" i="9" s="1"/>
  <c r="D203" i="2"/>
  <c r="H18" i="10" s="1"/>
  <c r="S166" i="6"/>
  <c r="M29" i="9" s="1"/>
  <c r="S330" i="6"/>
  <c r="S386" i="6"/>
  <c r="N32" i="20" s="1"/>
  <c r="D167" i="2"/>
  <c r="D38" i="2"/>
  <c r="D68" i="2"/>
  <c r="S162" i="6"/>
  <c r="M25" i="9" s="1"/>
  <c r="D239" i="2"/>
  <c r="H29" i="12" s="1"/>
  <c r="D47" i="2"/>
  <c r="K47" i="17" s="1"/>
  <c r="D65" i="2"/>
  <c r="I2" i="5" s="1"/>
  <c r="D286" i="2"/>
  <c r="K286" i="17" s="1"/>
  <c r="D171" i="2"/>
  <c r="K171" i="17" s="1"/>
  <c r="D61" i="2"/>
  <c r="K61" i="17" s="1"/>
  <c r="P212" i="2"/>
  <c r="R212" i="2" s="1"/>
  <c r="Q271" i="6" s="1"/>
  <c r="S127" i="6"/>
  <c r="M16" i="10" s="1"/>
  <c r="D96" i="2"/>
  <c r="I33" i="5" s="1"/>
  <c r="D134" i="2"/>
  <c r="H7" i="9" s="1"/>
  <c r="S77" i="6"/>
  <c r="P261" i="6"/>
  <c r="S261" i="6" s="1"/>
  <c r="L251" i="17" s="1"/>
  <c r="D74" i="2"/>
  <c r="D260" i="2"/>
  <c r="K260" i="17" s="1"/>
  <c r="S129" i="6"/>
  <c r="S199" i="6"/>
  <c r="L4" i="14" s="1"/>
  <c r="S63" i="6"/>
  <c r="M16" i="5" s="1"/>
  <c r="S85" i="6"/>
  <c r="M38" i="5" s="1"/>
  <c r="S94" i="6"/>
  <c r="L110" i="17" s="1"/>
  <c r="P215" i="2"/>
  <c r="R215" i="2" s="1"/>
  <c r="P306" i="6" s="1"/>
  <c r="S306" i="6" s="1"/>
  <c r="N19" i="16" s="1"/>
  <c r="S334" i="6"/>
  <c r="M16" i="19" s="1"/>
  <c r="S197" i="6"/>
  <c r="L2" i="14" s="1"/>
  <c r="D227" i="2"/>
  <c r="H17" i="12" s="1"/>
  <c r="S126" i="6"/>
  <c r="M15" i="10" s="1"/>
  <c r="D133" i="2"/>
  <c r="H6" i="9" s="1"/>
  <c r="S72" i="6"/>
  <c r="M25" i="5" s="1"/>
  <c r="S3" i="6"/>
  <c r="S228" i="6"/>
  <c r="L218" i="17" s="1"/>
  <c r="S229" i="6"/>
  <c r="S349" i="6"/>
  <c r="D250" i="2"/>
  <c r="K250" i="17" s="1"/>
  <c r="D192" i="2"/>
  <c r="H7" i="10" s="1"/>
  <c r="S62" i="6"/>
  <c r="M15" i="5" s="1"/>
  <c r="D136" i="2"/>
  <c r="H9" i="9" s="1"/>
  <c r="S243" i="6"/>
  <c r="M23" i="12" s="1"/>
  <c r="D276" i="2"/>
  <c r="K276" i="17" s="1"/>
  <c r="D169" i="2"/>
  <c r="H42" i="9" s="1"/>
  <c r="S353" i="6"/>
  <c r="M35" i="19" s="1"/>
  <c r="D272" i="2"/>
  <c r="K272" i="17" s="1"/>
  <c r="D58" i="2"/>
  <c r="I39" i="8" s="1"/>
  <c r="D126" i="2"/>
  <c r="K126" i="17" s="1"/>
  <c r="S218" i="6"/>
  <c r="L286" i="17" s="1"/>
  <c r="S310" i="6"/>
  <c r="D173" i="2"/>
  <c r="H46" i="9" s="1"/>
  <c r="D292" i="2"/>
  <c r="D153" i="2"/>
  <c r="D118" i="2"/>
  <c r="S327" i="6"/>
  <c r="L342" i="17" s="1"/>
  <c r="D247" i="2"/>
  <c r="K247" i="17" s="1"/>
  <c r="D54" i="2"/>
  <c r="I35" i="8" s="1"/>
  <c r="D384" i="2"/>
  <c r="K383" i="17" s="1"/>
  <c r="D337" i="2"/>
  <c r="K337" i="17" s="1"/>
  <c r="P26" i="6"/>
  <c r="S26" i="6" s="1"/>
  <c r="L44" i="17" s="1"/>
  <c r="S226" i="6"/>
  <c r="M6" i="12" s="1"/>
  <c r="S36" i="6"/>
  <c r="N35" i="8" s="1"/>
  <c r="S121" i="6"/>
  <c r="M10" i="10" s="1"/>
  <c r="D206" i="2"/>
  <c r="K206" i="17" s="1"/>
  <c r="S88" i="6"/>
  <c r="S214" i="6"/>
  <c r="D277" i="2"/>
  <c r="K277" i="17" s="1"/>
  <c r="S160" i="6"/>
  <c r="S145" i="6"/>
  <c r="S312" i="6"/>
  <c r="N25" i="16" s="1"/>
  <c r="P24" i="6"/>
  <c r="S24" i="6" s="1"/>
  <c r="N23" i="8" s="1"/>
  <c r="D399" i="2"/>
  <c r="K398" i="17" s="1"/>
  <c r="D268" i="2"/>
  <c r="K268" i="17" s="1"/>
  <c r="P25" i="6"/>
  <c r="S25" i="6" s="1"/>
  <c r="S358" i="6"/>
  <c r="L372" i="17" s="1"/>
  <c r="S302" i="6"/>
  <c r="N15" i="16" s="1"/>
  <c r="S359" i="6"/>
  <c r="L373" i="17" s="1"/>
  <c r="D100" i="2"/>
  <c r="I37" i="5" s="1"/>
  <c r="S66" i="6"/>
  <c r="M19" i="5" s="1"/>
  <c r="S347" i="6"/>
  <c r="L362" i="17" s="1"/>
  <c r="S154" i="6"/>
  <c r="S317" i="6"/>
  <c r="P263" i="6"/>
  <c r="S263" i="6" s="1"/>
  <c r="D178" i="2"/>
  <c r="D116" i="2"/>
  <c r="D49" i="2"/>
  <c r="I30" i="8" s="1"/>
  <c r="S277" i="6"/>
  <c r="M4" i="15" s="1"/>
  <c r="S125" i="6"/>
  <c r="M14" i="10" s="1"/>
  <c r="S70" i="6"/>
  <c r="L86" i="17" s="1"/>
  <c r="D97" i="2"/>
  <c r="I34" i="5" s="1"/>
  <c r="S177" i="6"/>
  <c r="L167" i="17" s="1"/>
  <c r="S303" i="6"/>
  <c r="N16" i="16" s="1"/>
  <c r="S365" i="6"/>
  <c r="L379" i="17" s="1"/>
  <c r="D29" i="2"/>
  <c r="I11" i="8" s="1"/>
  <c r="S301" i="6"/>
  <c r="N14" i="16" s="1"/>
  <c r="S241" i="6"/>
  <c r="L231" i="17" s="1"/>
  <c r="S348" i="6"/>
  <c r="S212" i="6"/>
  <c r="S322" i="6"/>
  <c r="M4" i="19" s="1"/>
  <c r="S257" i="6"/>
  <c r="L247" i="17" s="1"/>
  <c r="S13" i="6"/>
  <c r="S124" i="6"/>
  <c r="M13" i="10" s="1"/>
  <c r="S14" i="6"/>
  <c r="N13" i="8" s="1"/>
  <c r="S379" i="6"/>
  <c r="L393" i="17" s="1"/>
  <c r="S244" i="6"/>
  <c r="M24" i="12" s="1"/>
  <c r="S307" i="6"/>
  <c r="L322" i="17" s="1"/>
  <c r="D199" i="2"/>
  <c r="K199" i="17" s="1"/>
  <c r="S249" i="6"/>
  <c r="L239" i="17" s="1"/>
  <c r="D99" i="2"/>
  <c r="I36" i="5" s="1"/>
  <c r="D233" i="2"/>
  <c r="H23" i="12" s="1"/>
  <c r="S54" i="6"/>
  <c r="M7" i="5" s="1"/>
  <c r="S224" i="6"/>
  <c r="L214" i="17" s="1"/>
  <c r="D42" i="2"/>
  <c r="S22" i="6"/>
  <c r="D156" i="2"/>
  <c r="H29" i="9" s="1"/>
  <c r="S40" i="6"/>
  <c r="D79" i="2"/>
  <c r="S281" i="6"/>
  <c r="L296" i="17" s="1"/>
  <c r="S352" i="6"/>
  <c r="L367" i="17" s="1"/>
  <c r="S250" i="6"/>
  <c r="L240" i="17" s="1"/>
  <c r="D228" i="2"/>
  <c r="K228" i="17" s="1"/>
  <c r="S38" i="6"/>
  <c r="N37" i="8" s="1"/>
  <c r="S65" i="6"/>
  <c r="L81" i="17" s="1"/>
  <c r="P207" i="2"/>
  <c r="R207" i="2" s="1"/>
  <c r="P259" i="6" s="1"/>
  <c r="S259" i="6" s="1"/>
  <c r="S387" i="6"/>
  <c r="N33" i="20" s="1"/>
  <c r="D152" i="2"/>
  <c r="H25" i="9" s="1"/>
  <c r="S304" i="6"/>
  <c r="N17" i="16" s="1"/>
  <c r="S164" i="6"/>
  <c r="M27" i="9" s="1"/>
  <c r="S43" i="6"/>
  <c r="S378" i="6"/>
  <c r="S98" i="2"/>
  <c r="G98" i="2" s="1"/>
  <c r="D365" i="2"/>
  <c r="D377" i="2"/>
  <c r="I8" i="20" s="1"/>
  <c r="S206" i="6"/>
  <c r="L11" i="14" s="1"/>
  <c r="S390" i="6"/>
  <c r="L404" i="17" s="1"/>
  <c r="S41" i="6"/>
  <c r="L59" i="17" s="1"/>
  <c r="S328" i="6"/>
  <c r="L343" i="17" s="1"/>
  <c r="S98" i="6"/>
  <c r="M51" i="5" s="1"/>
  <c r="D148" i="2"/>
  <c r="K148" i="17" s="1"/>
  <c r="D71" i="2"/>
  <c r="I8" i="5" s="1"/>
  <c r="S103" i="6"/>
  <c r="M56" i="5" s="1"/>
  <c r="D163" i="2"/>
  <c r="K163" i="17" s="1"/>
  <c r="S200" i="6"/>
  <c r="L5" i="14" s="1"/>
  <c r="S119" i="6"/>
  <c r="M8" i="10" s="1"/>
  <c r="S382" i="6"/>
  <c r="S203" i="6"/>
  <c r="L8" i="14" s="1"/>
  <c r="S55" i="6"/>
  <c r="L71" i="17" s="1"/>
  <c r="S61" i="6"/>
  <c r="L77" i="17" s="1"/>
  <c r="D274" i="2"/>
  <c r="K274" i="17" s="1"/>
  <c r="D75" i="2"/>
  <c r="I12" i="5" s="1"/>
  <c r="D66" i="2"/>
  <c r="K66" i="17" s="1"/>
  <c r="D139" i="2"/>
  <c r="K139" i="17" s="1"/>
  <c r="S388" i="6"/>
  <c r="L402" i="17" s="1"/>
  <c r="S44" i="6"/>
  <c r="L62" i="17" s="1"/>
  <c r="S173" i="6"/>
  <c r="L163" i="17" s="1"/>
  <c r="S294" i="6"/>
  <c r="N7" i="16" s="1"/>
  <c r="S27" i="6"/>
  <c r="L45" i="17" s="1"/>
  <c r="D307" i="2"/>
  <c r="K307" i="17" s="1"/>
  <c r="S256" i="6"/>
  <c r="M36" i="12" s="1"/>
  <c r="S97" i="6"/>
  <c r="M50" i="5" s="1"/>
  <c r="S139" i="6"/>
  <c r="M2" i="9" s="1"/>
  <c r="S254" i="6"/>
  <c r="M34" i="12" s="1"/>
  <c r="D321" i="2"/>
  <c r="I19" i="16" s="1"/>
  <c r="S182" i="6"/>
  <c r="M45" i="9" s="1"/>
  <c r="S78" i="6"/>
  <c r="L94" i="17" s="1"/>
  <c r="S252" i="6"/>
  <c r="M32" i="12" s="1"/>
  <c r="S148" i="6"/>
  <c r="M11" i="9" s="1"/>
  <c r="S338" i="6"/>
  <c r="M20" i="19" s="1"/>
  <c r="S81" i="6"/>
  <c r="M34" i="5" s="1"/>
  <c r="S92" i="6"/>
  <c r="L108" i="17" s="1"/>
  <c r="S165" i="6"/>
  <c r="M28" i="9" s="1"/>
  <c r="S290" i="6"/>
  <c r="N3" i="16" s="1"/>
  <c r="S8" i="6"/>
  <c r="N7" i="8" s="1"/>
  <c r="S169" i="6"/>
  <c r="M32" i="9" s="1"/>
  <c r="S149" i="6"/>
  <c r="M12" i="9" s="1"/>
  <c r="S392" i="6"/>
  <c r="L406" i="17" s="1"/>
  <c r="D168" i="2"/>
  <c r="K168" i="17" s="1"/>
  <c r="D166" i="2"/>
  <c r="H39" i="9" s="1"/>
  <c r="D275" i="2"/>
  <c r="K275" i="17" s="1"/>
  <c r="S51" i="6"/>
  <c r="M4" i="5" s="1"/>
  <c r="S170" i="6"/>
  <c r="M33" i="9" s="1"/>
  <c r="S104" i="6"/>
  <c r="M57" i="5" s="1"/>
  <c r="D110" i="2"/>
  <c r="K110" i="17" s="1"/>
  <c r="S198" i="6"/>
  <c r="L3" i="14" s="1"/>
  <c r="S69" i="6"/>
  <c r="M22" i="5" s="1"/>
  <c r="S323" i="6"/>
  <c r="L338" i="17" s="1"/>
  <c r="S79" i="6"/>
  <c r="L95" i="17" s="1"/>
  <c r="S341" i="6"/>
  <c r="L356" i="17" s="1"/>
  <c r="S134" i="6"/>
  <c r="M23" i="10" s="1"/>
  <c r="S239" i="6"/>
  <c r="L229" i="17" s="1"/>
  <c r="D238" i="2"/>
  <c r="K238" i="17" s="1"/>
  <c r="S58" i="6"/>
  <c r="M11" i="5" s="1"/>
  <c r="S109" i="6"/>
  <c r="M62" i="5" s="1"/>
  <c r="S282" i="6"/>
  <c r="M9" i="15" s="1"/>
  <c r="S17" i="6"/>
  <c r="N16" i="8" s="1"/>
  <c r="P206" i="2"/>
  <c r="R206" i="2" s="1"/>
  <c r="P258" i="6" s="1"/>
  <c r="S258" i="6" s="1"/>
  <c r="S57" i="6"/>
  <c r="L73" i="17" s="1"/>
  <c r="S172" i="6"/>
  <c r="L162" i="17" s="1"/>
  <c r="T85" i="2"/>
  <c r="L85" i="2" s="1"/>
  <c r="D319" i="2"/>
  <c r="K319" i="17" s="1"/>
  <c r="D391" i="2"/>
  <c r="K390" i="17" s="1"/>
  <c r="D310" i="2"/>
  <c r="K310" i="17" s="1"/>
  <c r="D371" i="2"/>
  <c r="K370" i="17" s="1"/>
  <c r="D363" i="2"/>
  <c r="H30" i="19" s="1"/>
  <c r="D378" i="2"/>
  <c r="K377" i="17" s="1"/>
  <c r="D188" i="2"/>
  <c r="H3" i="10" s="1"/>
  <c r="S207" i="6"/>
  <c r="L12" i="14" s="1"/>
  <c r="S130" i="6"/>
  <c r="M19" i="10" s="1"/>
  <c r="S201" i="6"/>
  <c r="L6" i="14" s="1"/>
  <c r="P205" i="2"/>
  <c r="R205" i="2" s="1"/>
  <c r="P204" i="2"/>
  <c r="J230" i="2" s="1"/>
  <c r="S376" i="6"/>
  <c r="N22" i="20" s="1"/>
  <c r="S179" i="6"/>
  <c r="L169" i="17" s="1"/>
  <c r="S356" i="6"/>
  <c r="L370" i="17" s="1"/>
  <c r="P203" i="2"/>
  <c r="P202" i="2"/>
  <c r="D354" i="2"/>
  <c r="H21" i="19" s="1"/>
  <c r="D278" i="2"/>
  <c r="K278" i="17" s="1"/>
  <c r="D73" i="2"/>
  <c r="K73" i="17" s="1"/>
  <c r="S18" i="6"/>
  <c r="L36" i="17" s="1"/>
  <c r="D176" i="2"/>
  <c r="K176" i="17" s="1"/>
  <c r="U12" i="6"/>
  <c r="D229" i="2"/>
  <c r="K229" i="17" s="1"/>
  <c r="D285" i="2"/>
  <c r="K285" i="17" s="1"/>
  <c r="S168" i="6"/>
  <c r="J39" i="2"/>
  <c r="L39" i="2"/>
  <c r="K53" i="2"/>
  <c r="M53" i="2"/>
  <c r="M39" i="2"/>
  <c r="P23" i="2"/>
  <c r="L53" i="2"/>
  <c r="P199" i="2"/>
  <c r="R199" i="2" s="1"/>
  <c r="S199" i="2"/>
  <c r="T199" i="2" s="1"/>
  <c r="P198" i="2"/>
  <c r="Q198" i="2" s="1"/>
  <c r="J205" i="2" s="1"/>
  <c r="S75" i="6"/>
  <c r="M28" i="5" s="1"/>
  <c r="S76" i="6"/>
  <c r="M29" i="5" s="1"/>
  <c r="S190" i="2"/>
  <c r="T190" i="2" s="1"/>
  <c r="P189" i="2"/>
  <c r="P190" i="2"/>
  <c r="R190" i="2" s="1"/>
  <c r="P193" i="2"/>
  <c r="R193" i="2" s="1"/>
  <c r="P264" i="6" s="1"/>
  <c r="S264" i="6" s="1"/>
  <c r="S189" i="2"/>
  <c r="V201" i="2"/>
  <c r="S37" i="6"/>
  <c r="S60" i="6"/>
  <c r="K39" i="2"/>
  <c r="V111" i="2"/>
  <c r="V112" i="2"/>
  <c r="D182" i="2"/>
  <c r="K182" i="17" s="1"/>
  <c r="D76" i="2"/>
  <c r="K76" i="17" s="1"/>
  <c r="S110" i="6"/>
  <c r="M63" i="5" s="1"/>
  <c r="J53" i="2"/>
  <c r="D215" i="2"/>
  <c r="K215" i="17" s="1"/>
  <c r="S89" i="6"/>
  <c r="M42" i="5" s="1"/>
  <c r="S123" i="6"/>
  <c r="L197" i="17" s="1"/>
  <c r="P195" i="2"/>
  <c r="R195" i="2" s="1"/>
  <c r="W189" i="2"/>
  <c r="P194" i="2"/>
  <c r="S180" i="6"/>
  <c r="M43" i="9" s="1"/>
  <c r="S147" i="6"/>
  <c r="L137" i="17" s="1"/>
  <c r="S159" i="6"/>
  <c r="S157" i="6"/>
  <c r="L147" i="17" s="1"/>
  <c r="D200" i="2"/>
  <c r="K200" i="17" s="1"/>
  <c r="D164" i="2"/>
  <c r="H37" i="9" s="1"/>
  <c r="D83" i="2"/>
  <c r="K83" i="17" s="1"/>
  <c r="D281" i="2"/>
  <c r="K281" i="17" s="1"/>
  <c r="D59" i="2"/>
  <c r="I40" i="8" s="1"/>
  <c r="D51" i="2"/>
  <c r="K51" i="17" s="1"/>
  <c r="D235" i="2"/>
  <c r="K235" i="17" s="1"/>
  <c r="D90" i="2"/>
  <c r="K90" i="17" s="1"/>
  <c r="D172" i="2"/>
  <c r="H45" i="9" s="1"/>
  <c r="D34" i="2"/>
  <c r="I23" i="8" s="1"/>
  <c r="S293" i="6"/>
  <c r="S286" i="6"/>
  <c r="M13" i="15" s="1"/>
  <c r="D234" i="2"/>
  <c r="K234" i="17" s="1"/>
  <c r="S6" i="6"/>
  <c r="D294" i="2"/>
  <c r="H6" i="15" s="1"/>
  <c r="D138" i="2"/>
  <c r="H11" i="9" s="1"/>
  <c r="D396" i="2"/>
  <c r="I27" i="20" s="1"/>
  <c r="D335" i="2"/>
  <c r="H2" i="19" s="1"/>
  <c r="D339" i="2"/>
  <c r="H6" i="19" s="1"/>
  <c r="D380" i="2"/>
  <c r="I11" i="20" s="1"/>
  <c r="D366" i="2"/>
  <c r="H33" i="19" s="1"/>
  <c r="D324" i="2"/>
  <c r="I22" i="16" s="1"/>
  <c r="D343" i="2"/>
  <c r="H10" i="19" s="1"/>
  <c r="D308" i="2"/>
  <c r="I6" i="16" s="1"/>
  <c r="D382" i="2"/>
  <c r="K381" i="17" s="1"/>
  <c r="D355" i="2"/>
  <c r="K355" i="17" s="1"/>
  <c r="S187" i="6"/>
  <c r="L176" i="17" s="1"/>
  <c r="D95" i="2"/>
  <c r="K95" i="17" s="1"/>
  <c r="D151" i="2"/>
  <c r="H24" i="9" s="1"/>
  <c r="D113" i="2"/>
  <c r="S30" i="6"/>
  <c r="L48" i="17" s="1"/>
  <c r="S351" i="6"/>
  <c r="L366" i="17" s="1"/>
  <c r="D406" i="2"/>
  <c r="K405" i="17" s="1"/>
  <c r="D193" i="2"/>
  <c r="H8" i="10" s="1"/>
  <c r="D77" i="2"/>
  <c r="I14" i="5" s="1"/>
  <c r="D105" i="2"/>
  <c r="K105" i="17" s="1"/>
  <c r="S67" i="6"/>
  <c r="M20" i="5" s="1"/>
  <c r="S363" i="6"/>
  <c r="N9" i="20" s="1"/>
  <c r="S321" i="6"/>
  <c r="M3" i="19" s="1"/>
  <c r="D70" i="2"/>
  <c r="I7" i="5" s="1"/>
  <c r="S232" i="6"/>
  <c r="M12" i="12" s="1"/>
  <c r="S56" i="6"/>
  <c r="L72" i="17" s="1"/>
  <c r="S153" i="6"/>
  <c r="M16" i="9" s="1"/>
  <c r="D130" i="2"/>
  <c r="K130" i="17" s="1"/>
  <c r="D33" i="2"/>
  <c r="I14" i="8" s="1"/>
  <c r="S275" i="6"/>
  <c r="L290" i="17" s="1"/>
  <c r="S217" i="6"/>
  <c r="L22" i="14" s="1"/>
  <c r="S71" i="6"/>
  <c r="M24" i="5" s="1"/>
  <c r="S163" i="6"/>
  <c r="M26" i="9" s="1"/>
  <c r="D157" i="2"/>
  <c r="K157" i="17" s="1"/>
  <c r="S101" i="6"/>
  <c r="M54" i="5" s="1"/>
  <c r="S315" i="6"/>
  <c r="L330" i="17" s="1"/>
  <c r="D279" i="2"/>
  <c r="K279" i="17" s="1"/>
  <c r="S50" i="6"/>
  <c r="M3" i="5" s="1"/>
  <c r="S120" i="6"/>
  <c r="M9" i="10" s="1"/>
  <c r="S329" i="6"/>
  <c r="M11" i="19" s="1"/>
  <c r="D255" i="2"/>
  <c r="K255" i="17" s="1"/>
  <c r="S325" i="6"/>
  <c r="L340" i="17" s="1"/>
  <c r="S333" i="6"/>
  <c r="M15" i="19" s="1"/>
  <c r="S369" i="6"/>
  <c r="N15" i="20" s="1"/>
  <c r="D197" i="2"/>
  <c r="H12" i="10" s="1"/>
  <c r="S68" i="6"/>
  <c r="M21" i="5" s="1"/>
  <c r="S90" i="6"/>
  <c r="M43" i="5" s="1"/>
  <c r="D183" i="2"/>
  <c r="K183" i="17" s="1"/>
  <c r="D119" i="2"/>
  <c r="K119" i="17" s="1"/>
  <c r="D88" i="2"/>
  <c r="I25" i="5" s="1"/>
  <c r="D208" i="2"/>
  <c r="K208" i="17" s="1"/>
  <c r="D283" i="2"/>
  <c r="K283" i="17" s="1"/>
  <c r="S107" i="6"/>
  <c r="M60" i="5" s="1"/>
  <c r="S236" i="6"/>
  <c r="L226" i="17" s="1"/>
  <c r="D175" i="2"/>
  <c r="K175" i="17" s="1"/>
  <c r="D145" i="2"/>
  <c r="H18" i="9" s="1"/>
  <c r="D180" i="2"/>
  <c r="K180" i="17" s="1"/>
  <c r="S4" i="6"/>
  <c r="L22" i="17" s="1"/>
  <c r="S167" i="6"/>
  <c r="M30" i="9" s="1"/>
  <c r="D123" i="2"/>
  <c r="I60" i="5" s="1"/>
  <c r="S320" i="6"/>
  <c r="M2" i="19" s="1"/>
  <c r="D341" i="2"/>
  <c r="H8" i="19" s="1"/>
  <c r="D299" i="2"/>
  <c r="H11" i="15" s="1"/>
  <c r="S174" i="6"/>
  <c r="M37" i="9" s="1"/>
  <c r="S141" i="6"/>
  <c r="L131" i="17" s="1"/>
  <c r="S366" i="6"/>
  <c r="N12" i="20" s="1"/>
  <c r="D390" i="2"/>
  <c r="I21" i="20" s="1"/>
  <c r="D37" i="2"/>
  <c r="I17" i="8" s="1"/>
  <c r="S132" i="6"/>
  <c r="L206" i="17" s="1"/>
  <c r="S105" i="6"/>
  <c r="M58" i="5" s="1"/>
  <c r="S146" i="6"/>
  <c r="M9" i="9" s="1"/>
  <c r="S314" i="6"/>
  <c r="N27" i="16" s="1"/>
  <c r="S213" i="6"/>
  <c r="L281" i="17" s="1"/>
  <c r="L115" i="2"/>
  <c r="J115" i="2"/>
  <c r="I115" i="2"/>
  <c r="K115" i="2"/>
  <c r="M115" i="2"/>
  <c r="D296" i="2"/>
  <c r="H8" i="15" s="1"/>
  <c r="P197" i="2"/>
  <c r="R197" i="2" s="1"/>
  <c r="P196" i="2"/>
  <c r="D158" i="2"/>
  <c r="H31" i="9" s="1"/>
  <c r="S368" i="6"/>
  <c r="N14" i="20" s="1"/>
  <c r="D273" i="2"/>
  <c r="K273" i="17" s="1"/>
  <c r="D81" i="2"/>
  <c r="I18" i="5" s="1"/>
  <c r="S161" i="6"/>
  <c r="M24" i="9" s="1"/>
  <c r="S183" i="6"/>
  <c r="M46" i="9" s="1"/>
  <c r="S142" i="6"/>
  <c r="L132" i="17" s="1"/>
  <c r="D60" i="2"/>
  <c r="I41" i="8" s="1"/>
  <c r="S181" i="6"/>
  <c r="L171" i="17" s="1"/>
  <c r="S253" i="6"/>
  <c r="M33" i="12" s="1"/>
  <c r="D129" i="2"/>
  <c r="H2" i="9" s="1"/>
  <c r="D103" i="2"/>
  <c r="I40" i="5" s="1"/>
  <c r="S144" i="6"/>
  <c r="L134" i="17" s="1"/>
  <c r="S49" i="6"/>
  <c r="M2" i="5" s="1"/>
  <c r="S74" i="6"/>
  <c r="L90" i="17" s="1"/>
  <c r="S128" i="6"/>
  <c r="M17" i="10" s="1"/>
  <c r="S311" i="6"/>
  <c r="N24" i="16" s="1"/>
  <c r="S9" i="6"/>
  <c r="N8" i="8" s="1"/>
  <c r="S155" i="6"/>
  <c r="M18" i="9" s="1"/>
  <c r="D84" i="2"/>
  <c r="K84" i="17" s="1"/>
  <c r="S190" i="6"/>
  <c r="M53" i="9" s="1"/>
  <c r="S73" i="6"/>
  <c r="M26" i="5" s="1"/>
  <c r="P200" i="2"/>
  <c r="Q200" i="2" s="1"/>
  <c r="P201" i="2"/>
  <c r="S143" i="6"/>
  <c r="L133" i="17" s="1"/>
  <c r="S373" i="6"/>
  <c r="L387" i="17" s="1"/>
  <c r="D402" i="2"/>
  <c r="I33" i="20" s="1"/>
  <c r="D379" i="2"/>
  <c r="K378" i="17" s="1"/>
  <c r="D359" i="2"/>
  <c r="K359" i="17" s="1"/>
  <c r="D325" i="2"/>
  <c r="I23" i="16" s="1"/>
  <c r="D358" i="2"/>
  <c r="H25" i="19" s="1"/>
  <c r="D381" i="2"/>
  <c r="K380" i="17" s="1"/>
  <c r="D314" i="2"/>
  <c r="I12" i="16" s="1"/>
  <c r="D404" i="2"/>
  <c r="K403" i="17" s="1"/>
  <c r="D387" i="2"/>
  <c r="K386" i="17" s="1"/>
  <c r="D323" i="2"/>
  <c r="I21" i="16" s="1"/>
  <c r="D349" i="2"/>
  <c r="H16" i="19" s="1"/>
  <c r="D375" i="2"/>
  <c r="I6" i="20" s="1"/>
  <c r="D121" i="2"/>
  <c r="I58" i="5" s="1"/>
  <c r="D24" i="2"/>
  <c r="I5" i="8" s="1"/>
  <c r="D159" i="2"/>
  <c r="H32" i="9" s="1"/>
  <c r="D45" i="2"/>
  <c r="K45" i="17" s="1"/>
  <c r="D114" i="2"/>
  <c r="K114" i="17" s="1"/>
  <c r="D269" i="2"/>
  <c r="K269" i="17" s="1"/>
  <c r="S380" i="6"/>
  <c r="N26" i="20" s="1"/>
  <c r="D336" i="2"/>
  <c r="H3" i="19" s="1"/>
  <c r="D236" i="2"/>
  <c r="H26" i="12" s="1"/>
  <c r="D265" i="2"/>
  <c r="K265" i="17" s="1"/>
  <c r="D144" i="2"/>
  <c r="H17" i="9" s="1"/>
  <c r="D55" i="2"/>
  <c r="I36" i="8" s="1"/>
  <c r="S152" i="6"/>
  <c r="L142" i="17" s="1"/>
  <c r="S216" i="6"/>
  <c r="L21" i="14" s="1"/>
  <c r="D204" i="2"/>
  <c r="H19" i="10" s="1"/>
  <c r="S235" i="6"/>
  <c r="M15" i="12" s="1"/>
  <c r="S384" i="6"/>
  <c r="L398" i="17" s="1"/>
  <c r="D249" i="2"/>
  <c r="K249" i="17" s="1"/>
  <c r="D117" i="2"/>
  <c r="I54" i="5" s="1"/>
  <c r="S291" i="6"/>
  <c r="N4" i="16" s="1"/>
  <c r="S84" i="6"/>
  <c r="L100" i="17" s="1"/>
  <c r="D300" i="2"/>
  <c r="H12" i="15" s="1"/>
  <c r="S87" i="6"/>
  <c r="M40" i="5" s="1"/>
  <c r="S19" i="6"/>
  <c r="L37" i="17" s="1"/>
  <c r="S364" i="6"/>
  <c r="N10" i="20" s="1"/>
  <c r="D89" i="2"/>
  <c r="I26" i="5" s="1"/>
  <c r="S59" i="6"/>
  <c r="L75" i="17" s="1"/>
  <c r="S255" i="6"/>
  <c r="L245" i="17" s="1"/>
  <c r="S374" i="6"/>
  <c r="N20" i="20" s="1"/>
  <c r="D143" i="2"/>
  <c r="K143" i="17" s="1"/>
  <c r="S86" i="6"/>
  <c r="M39" i="5" s="1"/>
  <c r="S80" i="6"/>
  <c r="M33" i="5" s="1"/>
  <c r="S151" i="6"/>
  <c r="L141" i="17" s="1"/>
  <c r="D280" i="2"/>
  <c r="K280" i="17" s="1"/>
  <c r="S336" i="6"/>
  <c r="L351" i="17" s="1"/>
  <c r="S64" i="6"/>
  <c r="M17" i="5" s="1"/>
  <c r="D223" i="2"/>
  <c r="H13" i="12" s="1"/>
  <c r="D154" i="2"/>
  <c r="H27" i="9" s="1"/>
  <c r="D91" i="2"/>
  <c r="I28" i="5" s="1"/>
  <c r="S234" i="6"/>
  <c r="L224" i="17" s="1"/>
  <c r="D401" i="2"/>
  <c r="K400" i="17" s="1"/>
  <c r="S23" i="6"/>
  <c r="N22" i="8" s="1"/>
  <c r="D304" i="2"/>
  <c r="I2" i="16" s="1"/>
  <c r="S342" i="6"/>
  <c r="M24" i="19" s="1"/>
  <c r="D243" i="2"/>
  <c r="H33" i="12" s="1"/>
  <c r="D28" i="2"/>
  <c r="I9" i="8" s="1"/>
  <c r="S367" i="6"/>
  <c r="N13" i="20" s="1"/>
  <c r="D162" i="2"/>
  <c r="K162" i="17" s="1"/>
  <c r="D295" i="2"/>
  <c r="H7" i="15" s="1"/>
  <c r="D150" i="2"/>
  <c r="H23" i="9" s="1"/>
  <c r="D94" i="2"/>
  <c r="I31" i="5" s="1"/>
  <c r="D287" i="2"/>
  <c r="K287" i="17" s="1"/>
  <c r="S238" i="6"/>
  <c r="M18" i="12" s="1"/>
  <c r="D291" i="2"/>
  <c r="H3" i="15" s="1"/>
  <c r="D254" i="2"/>
  <c r="K254" i="17" s="1"/>
  <c r="D21" i="2"/>
  <c r="K21" i="17" s="1"/>
  <c r="D120" i="2"/>
  <c r="I57" i="5" s="1"/>
  <c r="D82" i="2"/>
  <c r="K82" i="17" s="1"/>
  <c r="S357" i="6"/>
  <c r="N3" i="20" s="1"/>
  <c r="D196" i="2"/>
  <c r="H11" i="10" s="1"/>
  <c r="D266" i="2"/>
  <c r="K266" i="17" s="1"/>
  <c r="D46" i="2"/>
  <c r="I27" i="8" s="1"/>
  <c r="D146" i="2"/>
  <c r="H19" i="9" s="1"/>
  <c r="S99" i="6"/>
  <c r="M52" i="5" s="1"/>
  <c r="D112" i="2"/>
  <c r="I49" i="5" s="1"/>
  <c r="D301" i="2"/>
  <c r="H13" i="15" s="1"/>
  <c r="D57" i="2"/>
  <c r="I38" i="8" s="1"/>
  <c r="S158" i="6"/>
  <c r="L148" i="17" s="1"/>
  <c r="S91" i="6"/>
  <c r="M44" i="5" s="1"/>
  <c r="S297" i="6"/>
  <c r="L312" i="17" s="1"/>
  <c r="D253" i="2"/>
  <c r="K253" i="17" s="1"/>
  <c r="D340" i="2"/>
  <c r="H7" i="19" s="1"/>
  <c r="D155" i="2"/>
  <c r="H28" i="9" s="1"/>
  <c r="D282" i="2"/>
  <c r="K282" i="17" s="1"/>
  <c r="D125" i="2"/>
  <c r="I62" i="5" s="1"/>
  <c r="S102" i="6"/>
  <c r="M55" i="5" s="1"/>
  <c r="S362" i="6"/>
  <c r="N8" i="20" s="1"/>
  <c r="P108" i="2"/>
  <c r="O108" i="2"/>
  <c r="D306" i="2"/>
  <c r="K306" i="17" s="1"/>
  <c r="D160" i="2"/>
  <c r="K160" i="17" s="1"/>
  <c r="S335" i="6"/>
  <c r="L350" i="17" s="1"/>
  <c r="D161" i="2"/>
  <c r="H34" i="9" s="1"/>
  <c r="D109" i="2"/>
  <c r="I46" i="5" s="1"/>
  <c r="S227" i="6"/>
  <c r="M7" i="12" s="1"/>
  <c r="S280" i="6"/>
  <c r="M7" i="15" s="1"/>
  <c r="D251" i="2"/>
  <c r="H41" i="12" s="1"/>
  <c r="D297" i="2"/>
  <c r="H9" i="15" s="1"/>
  <c r="D342" i="2"/>
  <c r="H9" i="19" s="1"/>
  <c r="S204" i="6"/>
  <c r="L9" i="14" s="1"/>
  <c r="D293" i="2"/>
  <c r="H5" i="15" s="1"/>
  <c r="D131" i="2"/>
  <c r="K131" i="17" s="1"/>
  <c r="S7" i="6"/>
  <c r="N6" i="8" s="1"/>
  <c r="S83" i="6"/>
  <c r="M36" i="5" s="1"/>
  <c r="D298" i="2"/>
  <c r="K298" i="17" s="1"/>
  <c r="D252" i="2"/>
  <c r="K252" i="17" s="1"/>
  <c r="S339" i="6"/>
  <c r="M21" i="19" s="1"/>
  <c r="S176" i="6"/>
  <c r="M39" i="9" s="1"/>
  <c r="S251" i="6"/>
  <c r="M31" i="12" s="1"/>
  <c r="S246" i="6"/>
  <c r="L236" i="17" s="1"/>
  <c r="D25" i="2"/>
  <c r="K25" i="17" s="1"/>
  <c r="S39" i="6"/>
  <c r="N38" i="8" s="1"/>
  <c r="D320" i="2"/>
  <c r="K320" i="17" s="1"/>
  <c r="D397" i="2"/>
  <c r="I28" i="20" s="1"/>
  <c r="D344" i="2"/>
  <c r="H11" i="19" s="1"/>
  <c r="D352" i="2"/>
  <c r="H19" i="19" s="1"/>
  <c r="D311" i="2"/>
  <c r="I9" i="16" s="1"/>
  <c r="D305" i="2"/>
  <c r="I3" i="16" s="1"/>
  <c r="D356" i="2"/>
  <c r="K356" i="17" s="1"/>
  <c r="D318" i="2"/>
  <c r="K318" i="17" s="1"/>
  <c r="D347" i="2"/>
  <c r="H14" i="19" s="1"/>
  <c r="D388" i="2"/>
  <c r="I19" i="20" s="1"/>
  <c r="D393" i="2"/>
  <c r="I24" i="20" s="1"/>
  <c r="D372" i="2"/>
  <c r="I3" i="20" s="1"/>
  <c r="D345" i="2"/>
  <c r="K345" i="17" s="1"/>
  <c r="D317" i="2"/>
  <c r="K317" i="17" s="1"/>
  <c r="D315" i="2"/>
  <c r="K315" i="17" s="1"/>
  <c r="D376" i="2"/>
  <c r="K375" i="17" s="1"/>
  <c r="D327" i="2"/>
  <c r="I25" i="16" s="1"/>
  <c r="D405" i="2"/>
  <c r="I36" i="20" s="1"/>
  <c r="D332" i="2"/>
  <c r="K332" i="17" s="1"/>
  <c r="D316" i="2"/>
  <c r="K316" i="17" s="1"/>
  <c r="D394" i="2"/>
  <c r="K393" i="17" s="1"/>
  <c r="D392" i="2"/>
  <c r="K391" i="17" s="1"/>
  <c r="P272" i="6"/>
  <c r="S272" i="6" s="1"/>
  <c r="D330" i="2"/>
  <c r="K330" i="17" s="1"/>
  <c r="D312" i="2"/>
  <c r="K312" i="17" s="1"/>
  <c r="D360" i="2"/>
  <c r="K360" i="17" s="1"/>
  <c r="D326" i="2"/>
  <c r="I24" i="16" s="1"/>
  <c r="D357" i="2"/>
  <c r="K357" i="17" s="1"/>
  <c r="D407" i="2"/>
  <c r="K406" i="17" s="1"/>
  <c r="S194" i="6"/>
  <c r="L183" i="17" s="1"/>
  <c r="D309" i="2"/>
  <c r="I7" i="16" s="1"/>
  <c r="D383" i="2"/>
  <c r="I14" i="20" s="1"/>
  <c r="D374" i="2"/>
  <c r="K373" i="17" s="1"/>
  <c r="D329" i="2"/>
  <c r="K329" i="17" s="1"/>
  <c r="D400" i="2"/>
  <c r="K399" i="17" s="1"/>
  <c r="S191" i="6"/>
  <c r="M54" i="9" s="1"/>
  <c r="D362" i="2"/>
  <c r="H29" i="19" s="1"/>
  <c r="D346" i="2"/>
  <c r="K346" i="17" s="1"/>
  <c r="D348" i="2"/>
  <c r="H15" i="19" s="1"/>
  <c r="D313" i="2"/>
  <c r="I11" i="16" s="1"/>
  <c r="D322" i="2"/>
  <c r="K322" i="17" s="1"/>
  <c r="D338" i="2"/>
  <c r="H5" i="19" s="1"/>
  <c r="D386" i="2"/>
  <c r="K385" i="17" s="1"/>
  <c r="D364" i="2"/>
  <c r="K364" i="17" s="1"/>
  <c r="D395" i="2"/>
  <c r="K394" i="17" s="1"/>
  <c r="D367" i="2"/>
  <c r="H34" i="19" s="1"/>
  <c r="D398" i="2"/>
  <c r="I29" i="20" s="1"/>
  <c r="D368" i="2"/>
  <c r="K368" i="17" s="1"/>
  <c r="D403" i="2"/>
  <c r="I34" i="20" s="1"/>
  <c r="D350" i="2"/>
  <c r="H17" i="19" s="1"/>
  <c r="D373" i="2"/>
  <c r="K372" i="17" s="1"/>
  <c r="D331" i="2"/>
  <c r="K331" i="17" s="1"/>
  <c r="H32" i="19"/>
  <c r="K365" i="17"/>
  <c r="I53" i="5"/>
  <c r="K116" i="17"/>
  <c r="N28" i="20"/>
  <c r="L396" i="17"/>
  <c r="N11" i="16"/>
  <c r="L313" i="17"/>
  <c r="S186" i="6"/>
  <c r="N21" i="16"/>
  <c r="L323" i="17"/>
  <c r="N27" i="20"/>
  <c r="L395" i="17"/>
  <c r="N21" i="8"/>
  <c r="L40" i="17"/>
  <c r="L58" i="17"/>
  <c r="N39" i="8"/>
  <c r="L345" i="17"/>
  <c r="M12" i="19"/>
  <c r="L144" i="17"/>
  <c r="M17" i="9"/>
  <c r="N30" i="16"/>
  <c r="L332" i="17"/>
  <c r="K179" i="17"/>
  <c r="H53" i="9"/>
  <c r="K68" i="17"/>
  <c r="I5" i="5"/>
  <c r="I43" i="5"/>
  <c r="K101" i="17"/>
  <c r="I38" i="5"/>
  <c r="S189" i="6"/>
  <c r="L149" i="17"/>
  <c r="M22" i="9"/>
  <c r="N9" i="8"/>
  <c r="L28" i="17"/>
  <c r="H6" i="12"/>
  <c r="K216" i="17"/>
  <c r="D353" i="2"/>
  <c r="I3" i="8"/>
  <c r="K22" i="17"/>
  <c r="I11" i="5"/>
  <c r="K74" i="17"/>
  <c r="M30" i="5"/>
  <c r="L93" i="17"/>
  <c r="L277" i="17"/>
  <c r="L14" i="14"/>
  <c r="K376" i="17"/>
  <c r="D328" i="2"/>
  <c r="I55" i="5"/>
  <c r="K118" i="17"/>
  <c r="G3" i="14"/>
  <c r="G11" i="14"/>
  <c r="G19" i="14"/>
  <c r="G21" i="14"/>
  <c r="G10" i="14"/>
  <c r="G8" i="14"/>
  <c r="G18" i="14"/>
  <c r="G2" i="14"/>
  <c r="G16" i="14"/>
  <c r="G6" i="14"/>
  <c r="G14" i="14"/>
  <c r="G15" i="14"/>
  <c r="G17" i="14"/>
  <c r="G5" i="14"/>
  <c r="G24" i="14"/>
  <c r="G7" i="1"/>
  <c r="G12" i="14"/>
  <c r="G23" i="14"/>
  <c r="G20" i="14"/>
  <c r="G13" i="14"/>
  <c r="G9" i="14"/>
  <c r="G7" i="14"/>
  <c r="G22" i="14"/>
  <c r="G4" i="14"/>
  <c r="L21" i="17"/>
  <c r="N2" i="8"/>
  <c r="K178" i="17"/>
  <c r="H52" i="9"/>
  <c r="I22" i="8"/>
  <c r="K41" i="17"/>
  <c r="N42" i="8"/>
  <c r="L61" i="17"/>
  <c r="S188" i="6"/>
  <c r="L223" i="17"/>
  <c r="M13" i="12"/>
  <c r="M3" i="12"/>
  <c r="L213" i="17"/>
  <c r="N24" i="20"/>
  <c r="L392" i="17"/>
  <c r="H16" i="12"/>
  <c r="D189" i="2"/>
  <c r="H4" i="12"/>
  <c r="K214" i="17"/>
  <c r="D389" i="2"/>
  <c r="I12" i="8"/>
  <c r="K30" i="17"/>
  <c r="I21" i="8"/>
  <c r="K40" i="17"/>
  <c r="M9" i="12"/>
  <c r="L219" i="17"/>
  <c r="L164" i="17"/>
  <c r="M31" i="19"/>
  <c r="L364" i="17"/>
  <c r="N23" i="16"/>
  <c r="L325" i="17"/>
  <c r="D385" i="2"/>
  <c r="H5" i="9"/>
  <c r="K132" i="17"/>
  <c r="K87" i="17"/>
  <c r="M2" i="15"/>
  <c r="M42" i="9"/>
  <c r="M18" i="10"/>
  <c r="L203" i="17"/>
  <c r="M53" i="5"/>
  <c r="L116" i="17"/>
  <c r="N29" i="20"/>
  <c r="L397" i="17"/>
  <c r="N13" i="16"/>
  <c r="L315" i="17"/>
  <c r="K167" i="17"/>
  <c r="H40" i="9"/>
  <c r="N26" i="16"/>
  <c r="L328" i="17"/>
  <c r="M22" i="19"/>
  <c r="L355" i="17"/>
  <c r="H40" i="12"/>
  <c r="L291" i="17"/>
  <c r="M3" i="15"/>
  <c r="L33" i="17"/>
  <c r="L69" i="17"/>
  <c r="M6" i="5"/>
  <c r="L308" i="17"/>
  <c r="N6" i="16"/>
  <c r="L363" i="17"/>
  <c r="M30" i="19"/>
  <c r="K212" i="17"/>
  <c r="H2" i="12"/>
  <c r="K213" i="17"/>
  <c r="H3" i="12"/>
  <c r="D351" i="2"/>
  <c r="K153" i="17"/>
  <c r="H26" i="9"/>
  <c r="N41" i="8"/>
  <c r="M41" i="5"/>
  <c r="L104" i="17"/>
  <c r="L19" i="14"/>
  <c r="L282" i="17"/>
  <c r="L280" i="17"/>
  <c r="L17" i="14"/>
  <c r="N12" i="8"/>
  <c r="L30" i="17"/>
  <c r="N5" i="8"/>
  <c r="L24" i="17"/>
  <c r="L150" i="17"/>
  <c r="M23" i="9"/>
  <c r="L158" i="17"/>
  <c r="M31" i="9"/>
  <c r="L135" i="17"/>
  <c r="M8" i="9"/>
  <c r="L112" i="17"/>
  <c r="M49" i="5"/>
  <c r="S185" i="6"/>
  <c r="L215" i="17"/>
  <c r="M5" i="12"/>
  <c r="M6" i="15"/>
  <c r="L294" i="17"/>
  <c r="N12" i="16"/>
  <c r="L314" i="17"/>
  <c r="L375" i="17"/>
  <c r="N7" i="20"/>
  <c r="M10" i="12"/>
  <c r="L220" i="17"/>
  <c r="H38" i="12"/>
  <c r="K248" i="17"/>
  <c r="I10" i="8"/>
  <c r="K31" i="17"/>
  <c r="I50" i="5"/>
  <c r="K113" i="17"/>
  <c r="S192" i="6"/>
  <c r="H4" i="15"/>
  <c r="K292" i="17"/>
  <c r="H48" i="9"/>
  <c r="K174" i="17"/>
  <c r="K140" i="17"/>
  <c r="H13" i="9"/>
  <c r="K37" i="17"/>
  <c r="I18" i="8"/>
  <c r="I16" i="5"/>
  <c r="K79" i="17"/>
  <c r="S193" i="6"/>
  <c r="L55" i="17"/>
  <c r="N36" i="8"/>
  <c r="I39" i="5"/>
  <c r="K102" i="17"/>
  <c r="L138" i="17"/>
  <c r="M13" i="5"/>
  <c r="L76" i="17"/>
  <c r="K294" i="17"/>
  <c r="K354" i="17" l="1"/>
  <c r="M23" i="5"/>
  <c r="H18" i="12"/>
  <c r="L232" i="17"/>
  <c r="I4" i="5"/>
  <c r="L122" i="17"/>
  <c r="K80" i="17"/>
  <c r="K78" i="17"/>
  <c r="H51" i="9"/>
  <c r="K26" i="17"/>
  <c r="I22" i="20"/>
  <c r="K237" i="17"/>
  <c r="K147" i="17"/>
  <c r="N25" i="20"/>
  <c r="I47" i="5"/>
  <c r="J47" i="5" s="1"/>
  <c r="L165" i="17"/>
  <c r="K240" i="17"/>
  <c r="M8" i="19"/>
  <c r="L152" i="17"/>
  <c r="K56" i="17"/>
  <c r="K195" i="17"/>
  <c r="M7" i="10"/>
  <c r="M30" i="12"/>
  <c r="N35" i="20"/>
  <c r="N40" i="8"/>
  <c r="K181" i="17"/>
  <c r="L233" i="17"/>
  <c r="L221" i="17"/>
  <c r="L20" i="14"/>
  <c r="K92" i="17"/>
  <c r="N18" i="20"/>
  <c r="K43" i="17"/>
  <c r="I44" i="5"/>
  <c r="I15" i="20"/>
  <c r="I8" i="8"/>
  <c r="H31" i="12"/>
  <c r="I31" i="12" s="1"/>
  <c r="M8" i="5"/>
  <c r="L400" i="17"/>
  <c r="K173" i="17"/>
  <c r="L337" i="17"/>
  <c r="M8" i="12"/>
  <c r="M19" i="9"/>
  <c r="L353" i="17"/>
  <c r="N17" i="20"/>
  <c r="M6" i="19"/>
  <c r="I43" i="8"/>
  <c r="N22" i="16"/>
  <c r="M2" i="12"/>
  <c r="L196" i="17"/>
  <c r="M13" i="9"/>
  <c r="M41" i="9"/>
  <c r="L349" i="17"/>
  <c r="L307" i="17"/>
  <c r="K93" i="17"/>
  <c r="K72" i="17"/>
  <c r="K217" i="17"/>
  <c r="K366" i="17"/>
  <c r="I2" i="20"/>
  <c r="J2" i="20" s="1"/>
  <c r="M18" i="5"/>
  <c r="M47" i="5"/>
  <c r="M5" i="19"/>
  <c r="K239" i="17"/>
  <c r="I8" i="16"/>
  <c r="K231" i="17"/>
  <c r="K198" i="17"/>
  <c r="M45" i="5"/>
  <c r="N43" i="8"/>
  <c r="L300" i="17"/>
  <c r="K32" i="17"/>
  <c r="L279" i="17"/>
  <c r="L359" i="17"/>
  <c r="K122" i="17"/>
  <c r="I12" i="20"/>
  <c r="K12" i="20" s="1"/>
  <c r="M11" i="15"/>
  <c r="I42" i="8"/>
  <c r="J42" i="8" s="1"/>
  <c r="L304" i="17"/>
  <c r="I31" i="8"/>
  <c r="K31" i="8" s="1"/>
  <c r="L357" i="17"/>
  <c r="L331" i="17"/>
  <c r="M21" i="10"/>
  <c r="M42" i="12"/>
  <c r="K363" i="17"/>
  <c r="L368" i="17"/>
  <c r="M29" i="12"/>
  <c r="L318" i="17"/>
  <c r="N16" i="20"/>
  <c r="L123" i="17"/>
  <c r="M23" i="19"/>
  <c r="L309" i="17"/>
  <c r="L305" i="17"/>
  <c r="K111" i="17"/>
  <c r="L124" i="17"/>
  <c r="K259" i="17"/>
  <c r="L31" i="17"/>
  <c r="K71" i="17"/>
  <c r="L317" i="17"/>
  <c r="L265" i="17"/>
  <c r="R105" i="2"/>
  <c r="K169" i="17"/>
  <c r="H14" i="10"/>
  <c r="I14" i="10" s="1"/>
  <c r="K141" i="17"/>
  <c r="M14" i="19"/>
  <c r="L54" i="17"/>
  <c r="H21" i="9"/>
  <c r="I21" i="9" s="1"/>
  <c r="N4" i="20"/>
  <c r="H44" i="9"/>
  <c r="I44" i="9" s="1"/>
  <c r="M40" i="9"/>
  <c r="H10" i="12"/>
  <c r="J10" i="12" s="1"/>
  <c r="I42" i="5"/>
  <c r="J42" i="5" s="1"/>
  <c r="L83" i="17"/>
  <c r="I32" i="5"/>
  <c r="K32" i="5" s="1"/>
  <c r="L151" i="17"/>
  <c r="L91" i="17"/>
  <c r="H8" i="9"/>
  <c r="I8" i="9" s="1"/>
  <c r="M5" i="5"/>
  <c r="K142" i="17"/>
  <c r="K52" i="17"/>
  <c r="K374" i="17"/>
  <c r="L139" i="17"/>
  <c r="I27" i="5"/>
  <c r="J27" i="5" s="1"/>
  <c r="I23" i="5"/>
  <c r="K23" i="5" s="1"/>
  <c r="K203" i="17"/>
  <c r="L105" i="17"/>
  <c r="L10" i="14"/>
  <c r="H22" i="12"/>
  <c r="I22" i="12" s="1"/>
  <c r="M5" i="9"/>
  <c r="I25" i="8"/>
  <c r="J25" i="8" s="1"/>
  <c r="L136" i="17"/>
  <c r="I5" i="16"/>
  <c r="K23" i="17"/>
  <c r="H36" i="9"/>
  <c r="M48" i="12"/>
  <c r="N21" i="20"/>
  <c r="K233" i="17"/>
  <c r="I16" i="8"/>
  <c r="K170" i="17"/>
  <c r="M48" i="5"/>
  <c r="L200" i="17"/>
  <c r="H21" i="10"/>
  <c r="J21" i="10" s="1"/>
  <c r="M21" i="12"/>
  <c r="K149" i="17"/>
  <c r="L161" i="17"/>
  <c r="L235" i="17"/>
  <c r="K137" i="17"/>
  <c r="I13" i="20"/>
  <c r="J13" i="20" s="1"/>
  <c r="L201" i="17"/>
  <c r="L222" i="17"/>
  <c r="L336" i="17"/>
  <c r="L121" i="17"/>
  <c r="K152" i="17"/>
  <c r="M4" i="12"/>
  <c r="L358" i="17"/>
  <c r="I6" i="5"/>
  <c r="J6" i="5" s="1"/>
  <c r="L193" i="17"/>
  <c r="H28" i="19"/>
  <c r="I28" i="19" s="1"/>
  <c r="M28" i="19"/>
  <c r="L113" i="17"/>
  <c r="L365" i="17"/>
  <c r="I21" i="5"/>
  <c r="J21" i="5" s="1"/>
  <c r="M27" i="12"/>
  <c r="I61" i="5"/>
  <c r="J61" i="5" s="1"/>
  <c r="L194" i="17"/>
  <c r="K46" i="17"/>
  <c r="N6" i="20"/>
  <c r="K58" i="17"/>
  <c r="L399" i="17"/>
  <c r="K134" i="17"/>
  <c r="L23" i="14"/>
  <c r="L310" i="17"/>
  <c r="M29" i="19"/>
  <c r="K29" i="17"/>
  <c r="L88" i="17"/>
  <c r="L46" i="17"/>
  <c r="L154" i="17"/>
  <c r="L381" i="17"/>
  <c r="H16" i="9"/>
  <c r="J16" i="9" s="1"/>
  <c r="K100" i="17"/>
  <c r="P270" i="6"/>
  <c r="S270" i="6" s="1"/>
  <c r="L260" i="17" s="1"/>
  <c r="T213" i="2"/>
  <c r="Q257" i="6" s="1"/>
  <c r="P33" i="6"/>
  <c r="S33" i="6" s="1"/>
  <c r="L51" i="17" s="1"/>
  <c r="L98" i="17"/>
  <c r="L27" i="17"/>
  <c r="H49" i="9"/>
  <c r="I49" i="9" s="1"/>
  <c r="M10" i="9"/>
  <c r="M35" i="12"/>
  <c r="M36" i="9"/>
  <c r="K39" i="17"/>
  <c r="K35" i="2"/>
  <c r="Q270" i="6"/>
  <c r="Q272" i="6"/>
  <c r="L35" i="2"/>
  <c r="M3" i="9"/>
  <c r="I20" i="5"/>
  <c r="J20" i="5" s="1"/>
  <c r="K104" i="17"/>
  <c r="M32" i="5"/>
  <c r="L298" i="17"/>
  <c r="L155" i="17"/>
  <c r="M28" i="12"/>
  <c r="P32" i="6"/>
  <c r="S32" i="6" s="1"/>
  <c r="N31" i="8" s="1"/>
  <c r="L41" i="17"/>
  <c r="L272" i="17"/>
  <c r="L295" i="17"/>
  <c r="I6" i="8"/>
  <c r="J6" i="8" s="1"/>
  <c r="I98" i="2"/>
  <c r="D98" i="2" s="1"/>
  <c r="I35" i="5" s="1"/>
  <c r="K236" i="17"/>
  <c r="K339" i="17"/>
  <c r="M4" i="9"/>
  <c r="I32" i="20"/>
  <c r="J32" i="20" s="1"/>
  <c r="N17" i="8"/>
  <c r="L378" i="17"/>
  <c r="L199" i="17"/>
  <c r="L287" i="17"/>
  <c r="I19" i="5"/>
  <c r="J19" i="5" s="1"/>
  <c r="N26" i="8"/>
  <c r="L268" i="17"/>
  <c r="M50" i="9"/>
  <c r="M35" i="9"/>
  <c r="L293" i="17"/>
  <c r="L82" i="17"/>
  <c r="K96" i="17"/>
  <c r="L26" i="17"/>
  <c r="N4" i="8"/>
  <c r="L316" i="17"/>
  <c r="K65" i="17"/>
  <c r="I63" i="5"/>
  <c r="K63" i="5" s="1"/>
  <c r="L70" i="17"/>
  <c r="I35" i="20"/>
  <c r="J35" i="20" s="1"/>
  <c r="L195" i="17"/>
  <c r="L208" i="17"/>
  <c r="L311" i="17"/>
  <c r="H57" i="9"/>
  <c r="J57" i="9" s="1"/>
  <c r="L348" i="17"/>
  <c r="L278" i="17"/>
  <c r="L319" i="17"/>
  <c r="K242" i="17"/>
  <c r="K54" i="17"/>
  <c r="K323" i="17"/>
  <c r="N37" i="20"/>
  <c r="K48" i="17"/>
  <c r="L143" i="17"/>
  <c r="L156" i="17"/>
  <c r="K133" i="17"/>
  <c r="N23" i="20"/>
  <c r="L120" i="17"/>
  <c r="I30" i="20"/>
  <c r="J30" i="20" s="1"/>
  <c r="L390" i="17"/>
  <c r="J35" i="2"/>
  <c r="M35" i="2"/>
  <c r="M40" i="12"/>
  <c r="L250" i="17"/>
  <c r="L255" i="17"/>
  <c r="M45" i="12"/>
  <c r="K156" i="17"/>
  <c r="H50" i="12"/>
  <c r="J50" i="12" s="1"/>
  <c r="H28" i="12"/>
  <c r="I28" i="12" s="1"/>
  <c r="K389" i="17"/>
  <c r="N25" i="8"/>
  <c r="M37" i="12"/>
  <c r="L256" i="17"/>
  <c r="M46" i="12"/>
  <c r="M27" i="5"/>
  <c r="I3" i="5"/>
  <c r="K3" i="5" s="1"/>
  <c r="H38" i="9"/>
  <c r="J38" i="9" s="1"/>
  <c r="K42" i="17"/>
  <c r="L78" i="17"/>
  <c r="L344" i="17"/>
  <c r="K81" i="17"/>
  <c r="I28" i="8"/>
  <c r="K28" i="8" s="1"/>
  <c r="L79" i="17"/>
  <c r="L352" i="17"/>
  <c r="K308" i="17"/>
  <c r="H37" i="12"/>
  <c r="I37" i="12" s="1"/>
  <c r="M15" i="9"/>
  <c r="K70" i="17"/>
  <c r="L292" i="17"/>
  <c r="L360" i="17"/>
  <c r="M13" i="19"/>
  <c r="M34" i="19"/>
  <c r="L32" i="17"/>
  <c r="L35" i="17"/>
  <c r="M17" i="12"/>
  <c r="K136" i="17"/>
  <c r="L101" i="17"/>
  <c r="M190" i="2"/>
  <c r="L102" i="17"/>
  <c r="L329" i="17"/>
  <c r="H22" i="19"/>
  <c r="J22" i="19" s="1"/>
  <c r="K396" i="17"/>
  <c r="L242" i="17"/>
  <c r="N34" i="20"/>
  <c r="K192" i="17"/>
  <c r="L327" i="17"/>
  <c r="L204" i="17"/>
  <c r="H19" i="12"/>
  <c r="I19" i="12" s="1"/>
  <c r="M8" i="15"/>
  <c r="L267" i="17"/>
  <c r="L202" i="17"/>
  <c r="H44" i="12"/>
  <c r="I44" i="12" s="1"/>
  <c r="L85" i="17"/>
  <c r="L97" i="17"/>
  <c r="H54" i="9"/>
  <c r="J54" i="9" s="1"/>
  <c r="L119" i="17"/>
  <c r="M20" i="9"/>
  <c r="M39" i="12"/>
  <c r="L249" i="17"/>
  <c r="L266" i="17"/>
  <c r="K145" i="17"/>
  <c r="N11" i="20"/>
  <c r="H24" i="12"/>
  <c r="J24" i="12" s="1"/>
  <c r="N2" i="20"/>
  <c r="L216" i="17"/>
  <c r="K204" i="17"/>
  <c r="K227" i="17"/>
  <c r="L173" i="17"/>
  <c r="M41" i="12"/>
  <c r="K99" i="17"/>
  <c r="K85" i="2"/>
  <c r="I17" i="16"/>
  <c r="M85" i="2"/>
  <c r="K243" i="17"/>
  <c r="L145" i="17"/>
  <c r="N5" i="20"/>
  <c r="L401" i="17"/>
  <c r="M7" i="19"/>
  <c r="L179" i="17"/>
  <c r="K158" i="17"/>
  <c r="N24" i="8"/>
  <c r="L43" i="17"/>
  <c r="L66" i="17"/>
  <c r="K36" i="17"/>
  <c r="H4" i="19"/>
  <c r="J4" i="19" s="1"/>
  <c r="K324" i="17"/>
  <c r="M12" i="10"/>
  <c r="K190" i="2"/>
  <c r="L114" i="17"/>
  <c r="K144" i="17"/>
  <c r="L190" i="2"/>
  <c r="K314" i="17"/>
  <c r="K172" i="17"/>
  <c r="J190" i="2"/>
  <c r="D53" i="2"/>
  <c r="I34" i="8" s="1"/>
  <c r="J34" i="8" s="1"/>
  <c r="K196" i="17"/>
  <c r="I85" i="2"/>
  <c r="K188" i="17"/>
  <c r="L198" i="17"/>
  <c r="M17" i="19"/>
  <c r="M7" i="9"/>
  <c r="L244" i="17"/>
  <c r="M9" i="19"/>
  <c r="L274" i="17"/>
  <c r="L125" i="17"/>
  <c r="I13" i="5"/>
  <c r="J13" i="5" s="1"/>
  <c r="K49" i="17"/>
  <c r="K300" i="17"/>
  <c r="I10" i="20"/>
  <c r="K10" i="20" s="1"/>
  <c r="H41" i="9"/>
  <c r="I41" i="9" s="1"/>
  <c r="D205" i="2"/>
  <c r="H20" i="10" s="1"/>
  <c r="J20" i="10" s="1"/>
  <c r="J85" i="2"/>
  <c r="H26" i="19"/>
  <c r="J26" i="19" s="1"/>
  <c r="L253" i="17"/>
  <c r="M43" i="12"/>
  <c r="K291" i="17"/>
  <c r="N28" i="16"/>
  <c r="H5" i="12"/>
  <c r="I5" i="12" s="1"/>
  <c r="N10" i="16"/>
  <c r="K109" i="17"/>
  <c r="H25" i="12"/>
  <c r="J25" i="12" s="1"/>
  <c r="K325" i="17"/>
  <c r="L160" i="17"/>
  <c r="K379" i="17"/>
  <c r="M57" i="9"/>
  <c r="K88" i="17"/>
  <c r="M31" i="5"/>
  <c r="N20" i="16"/>
  <c r="M10" i="5"/>
  <c r="K97" i="17"/>
  <c r="K91" i="17"/>
  <c r="L56" i="17"/>
  <c r="L103" i="17"/>
  <c r="L297" i="17"/>
  <c r="M21" i="9"/>
  <c r="M10" i="19"/>
  <c r="L117" i="17"/>
  <c r="K75" i="17"/>
  <c r="L234" i="17"/>
  <c r="M6" i="9"/>
  <c r="K77" i="17"/>
  <c r="L394" i="17"/>
  <c r="I56" i="5"/>
  <c r="J56" i="5" s="1"/>
  <c r="K197" i="17"/>
  <c r="N36" i="20"/>
  <c r="K223" i="17"/>
  <c r="H12" i="9"/>
  <c r="I12" i="9" s="1"/>
  <c r="L275" i="17"/>
  <c r="M37" i="5"/>
  <c r="L126" i="17"/>
  <c r="I2" i="8"/>
  <c r="J2" i="8" s="1"/>
  <c r="I10" i="5"/>
  <c r="J10" i="5" s="1"/>
  <c r="M14" i="9"/>
  <c r="K297" i="17"/>
  <c r="L157" i="17"/>
  <c r="L159" i="17"/>
  <c r="K121" i="17"/>
  <c r="M19" i="12"/>
  <c r="L271" i="17"/>
  <c r="I9" i="20"/>
  <c r="K9" i="20" s="1"/>
  <c r="N30" i="20"/>
  <c r="L246" i="17"/>
  <c r="H12" i="19"/>
  <c r="L129" i="17"/>
  <c r="L74" i="17"/>
  <c r="K138" i="17"/>
  <c r="M14" i="5"/>
  <c r="N29" i="8"/>
  <c r="K164" i="17"/>
  <c r="M44" i="9"/>
  <c r="H39" i="12"/>
  <c r="I39" i="12" s="1"/>
  <c r="L285" i="17"/>
  <c r="K24" i="17"/>
  <c r="N38" i="20"/>
  <c r="I51" i="5"/>
  <c r="K51" i="5" s="1"/>
  <c r="H10" i="15"/>
  <c r="J10" i="15" s="1"/>
  <c r="K150" i="17"/>
  <c r="K321" i="17"/>
  <c r="H35" i="9"/>
  <c r="I35" i="9" s="1"/>
  <c r="L42" i="17"/>
  <c r="L354" i="17"/>
  <c r="N28" i="8"/>
  <c r="K299" i="17"/>
  <c r="L106" i="17"/>
  <c r="K193" i="17"/>
  <c r="L92" i="17"/>
  <c r="H33" i="9"/>
  <c r="J33" i="9" s="1"/>
  <c r="H30" i="9"/>
  <c r="J30" i="9" s="1"/>
  <c r="L335" i="17"/>
  <c r="L243" i="17"/>
  <c r="K335" i="17"/>
  <c r="M33" i="19"/>
  <c r="K166" i="17"/>
  <c r="K57" i="17"/>
  <c r="L172" i="17"/>
  <c r="I32" i="8"/>
  <c r="J32" i="8" s="1"/>
  <c r="K103" i="17"/>
  <c r="L87" i="17"/>
  <c r="L248" i="17"/>
  <c r="M38" i="12"/>
  <c r="L29" i="17"/>
  <c r="N11" i="8"/>
  <c r="K28" i="17"/>
  <c r="L67" i="17"/>
  <c r="L96" i="17"/>
  <c r="L89" i="17"/>
  <c r="L225" i="17"/>
  <c r="P240" i="6"/>
  <c r="S240" i="6" s="1"/>
  <c r="M20" i="12" s="1"/>
  <c r="L269" i="17"/>
  <c r="L118" i="17"/>
  <c r="K33" i="17"/>
  <c r="L383" i="17"/>
  <c r="H15" i="10"/>
  <c r="J15" i="10" s="1"/>
  <c r="I37" i="20"/>
  <c r="J37" i="20" s="1"/>
  <c r="K395" i="17"/>
  <c r="L84" i="17"/>
  <c r="J17" i="17" s="1"/>
  <c r="O17" i="1" s="1"/>
  <c r="K59" i="17"/>
  <c r="H42" i="12"/>
  <c r="J42" i="12" s="1"/>
  <c r="K350" i="17"/>
  <c r="L80" i="17"/>
  <c r="L153" i="17"/>
  <c r="N19" i="20"/>
  <c r="K129" i="17"/>
  <c r="I4" i="16"/>
  <c r="K301" i="17"/>
  <c r="K341" i="17"/>
  <c r="I15" i="16"/>
  <c r="K15" i="16" s="1"/>
  <c r="U189" i="2"/>
  <c r="Q113" i="6" s="1"/>
  <c r="D39" i="2"/>
  <c r="K38" i="17" s="1"/>
  <c r="L65" i="17"/>
  <c r="K296" i="17"/>
  <c r="L377" i="17"/>
  <c r="Q194" i="2"/>
  <c r="J191" i="2"/>
  <c r="Q115" i="2"/>
  <c r="P115" i="2"/>
  <c r="R115" i="2"/>
  <c r="O115" i="2"/>
  <c r="Q269" i="6"/>
  <c r="P305" i="6"/>
  <c r="S305" i="6" s="1"/>
  <c r="P131" i="6"/>
  <c r="S131" i="6" s="1"/>
  <c r="P269" i="6"/>
  <c r="S269" i="6" s="1"/>
  <c r="P35" i="6"/>
  <c r="S35" i="6" s="1"/>
  <c r="P31" i="6"/>
  <c r="S31" i="6" s="1"/>
  <c r="P21" i="6"/>
  <c r="S21" i="6" s="1"/>
  <c r="P20" i="6"/>
  <c r="S20" i="6" s="1"/>
  <c r="N19" i="8" s="1"/>
  <c r="P16" i="6"/>
  <c r="S16" i="6" s="1"/>
  <c r="M230" i="2"/>
  <c r="Q204" i="2"/>
  <c r="L230" i="2"/>
  <c r="K230" i="2"/>
  <c r="K343" i="17"/>
  <c r="K401" i="17"/>
  <c r="X197" i="2"/>
  <c r="I187" i="2"/>
  <c r="T189" i="2"/>
  <c r="S192" i="2"/>
  <c r="T192" i="2" s="1"/>
  <c r="S191" i="2"/>
  <c r="T191" i="2" s="1"/>
  <c r="L170" i="17"/>
  <c r="P115" i="6"/>
  <c r="S115" i="6" s="1"/>
  <c r="P135" i="6"/>
  <c r="S135" i="6" s="1"/>
  <c r="P116" i="6"/>
  <c r="S116" i="6" s="1"/>
  <c r="P117" i="6"/>
  <c r="S117" i="6" s="1"/>
  <c r="P114" i="6"/>
  <c r="S114" i="6" s="1"/>
  <c r="L301" i="17"/>
  <c r="Q189" i="2"/>
  <c r="M209" i="2"/>
  <c r="J209" i="2"/>
  <c r="L209" i="2"/>
  <c r="P191" i="2"/>
  <c r="R191" i="2" s="1"/>
  <c r="P192" i="2"/>
  <c r="R192" i="2" s="1"/>
  <c r="K209" i="2"/>
  <c r="H23" i="10"/>
  <c r="J23" i="10" s="1"/>
  <c r="L380" i="17"/>
  <c r="H50" i="9"/>
  <c r="I50" i="9" s="1"/>
  <c r="H56" i="9"/>
  <c r="J56" i="9" s="1"/>
  <c r="P208" i="6"/>
  <c r="S208" i="6" s="1"/>
  <c r="P202" i="6"/>
  <c r="S202" i="6" s="1"/>
  <c r="H45" i="12"/>
  <c r="I45" i="12" s="1"/>
  <c r="M16" i="12"/>
  <c r="K151" i="17"/>
  <c r="H3" i="9"/>
  <c r="I3" i="9" s="1"/>
  <c r="K290" i="17"/>
  <c r="K371" i="17"/>
  <c r="D115" i="2"/>
  <c r="I52" i="5" s="1"/>
  <c r="L241" i="17"/>
  <c r="K344" i="17"/>
  <c r="H4" i="9"/>
  <c r="J4" i="9" s="1"/>
  <c r="K340" i="17"/>
  <c r="L166" i="17"/>
  <c r="L228" i="17"/>
  <c r="N18" i="8"/>
  <c r="K336" i="17"/>
  <c r="L326" i="17"/>
  <c r="M9" i="5"/>
  <c r="K358" i="17"/>
  <c r="K154" i="17"/>
  <c r="K161" i="17"/>
  <c r="L382" i="17"/>
  <c r="L107" i="17"/>
  <c r="K60" i="17"/>
  <c r="N3" i="8"/>
  <c r="K123" i="17"/>
  <c r="H23" i="19"/>
  <c r="J23" i="19" s="1"/>
  <c r="K349" i="17"/>
  <c r="L18" i="14"/>
  <c r="L371" i="17"/>
  <c r="I16" i="16"/>
  <c r="K16" i="16" s="1"/>
  <c r="I18" i="16"/>
  <c r="K18" i="16" s="1"/>
  <c r="K293" i="17"/>
  <c r="K251" i="17"/>
  <c r="K155" i="17"/>
  <c r="K55" i="17"/>
  <c r="M47" i="12"/>
  <c r="K347" i="17"/>
  <c r="K120" i="17"/>
  <c r="I201" i="2"/>
  <c r="I202" i="2"/>
  <c r="I194" i="2"/>
  <c r="Q196" i="2"/>
  <c r="M12" i="5"/>
  <c r="L57" i="17"/>
  <c r="I18" i="20"/>
  <c r="J18" i="20" s="1"/>
  <c r="K94" i="17"/>
  <c r="K305" i="17"/>
  <c r="I5" i="20"/>
  <c r="J5" i="20" s="1"/>
  <c r="K311" i="17"/>
  <c r="K309" i="17"/>
  <c r="Q201" i="2"/>
  <c r="P133" i="6"/>
  <c r="S133" i="6" s="1"/>
  <c r="K327" i="17"/>
  <c r="M18" i="19"/>
  <c r="K112" i="17"/>
  <c r="K295" i="17"/>
  <c r="I10" i="16"/>
  <c r="K10" i="16" s="1"/>
  <c r="K117" i="17"/>
  <c r="L115" i="17"/>
  <c r="K367" i="17"/>
  <c r="L99" i="17"/>
  <c r="K159" i="17"/>
  <c r="I26" i="8"/>
  <c r="J26" i="8" s="1"/>
  <c r="L306" i="17"/>
  <c r="K304" i="17"/>
  <c r="I28" i="16"/>
  <c r="J28" i="16" s="1"/>
  <c r="K342" i="17"/>
  <c r="K125" i="17"/>
  <c r="L284" i="17"/>
  <c r="L321" i="17"/>
  <c r="K392" i="17"/>
  <c r="L388" i="17"/>
  <c r="K348" i="17"/>
  <c r="H13" i="19"/>
  <c r="I13" i="19" s="1"/>
  <c r="H27" i="19"/>
  <c r="I27" i="19" s="1"/>
  <c r="H35" i="19"/>
  <c r="L180" i="17"/>
  <c r="L261" i="17"/>
  <c r="M14" i="12"/>
  <c r="L217" i="17"/>
  <c r="K382" i="17"/>
  <c r="H43" i="12"/>
  <c r="I43" i="12" s="1"/>
  <c r="M26" i="12"/>
  <c r="K404" i="17"/>
  <c r="I31" i="20"/>
  <c r="J31" i="20" s="1"/>
  <c r="I30" i="16"/>
  <c r="K30" i="16" s="1"/>
  <c r="K89" i="17"/>
  <c r="I4" i="20"/>
  <c r="J4" i="20" s="1"/>
  <c r="K146" i="17"/>
  <c r="L376" i="17"/>
  <c r="K338" i="17"/>
  <c r="I20" i="16"/>
  <c r="J20" i="16" s="1"/>
  <c r="K313" i="17"/>
  <c r="K352" i="17"/>
  <c r="I13" i="16"/>
  <c r="J13" i="16" s="1"/>
  <c r="S105" i="2"/>
  <c r="Q105" i="2"/>
  <c r="I7" i="20"/>
  <c r="K7" i="20" s="1"/>
  <c r="L25" i="17"/>
  <c r="H31" i="19"/>
  <c r="I38" i="20"/>
  <c r="K38" i="20" s="1"/>
  <c r="I17" i="20"/>
  <c r="K17" i="20" s="1"/>
  <c r="H24" i="19"/>
  <c r="I24" i="19" s="1"/>
  <c r="I27" i="16"/>
  <c r="J27" i="16" s="1"/>
  <c r="L262" i="17"/>
  <c r="M52" i="12"/>
  <c r="I29" i="16"/>
  <c r="K29" i="16" s="1"/>
  <c r="K362" i="17"/>
  <c r="K402" i="17"/>
  <c r="I23" i="20"/>
  <c r="J23" i="20" s="1"/>
  <c r="K387" i="17"/>
  <c r="I25" i="20"/>
  <c r="J25" i="20" s="1"/>
  <c r="K397" i="17"/>
  <c r="I26" i="20"/>
  <c r="J26" i="20" s="1"/>
  <c r="K326" i="17"/>
  <c r="I14" i="16"/>
  <c r="K14" i="16" s="1"/>
  <c r="J20" i="9"/>
  <c r="I20" i="9"/>
  <c r="J3" i="10"/>
  <c r="I3" i="10"/>
  <c r="I7" i="12"/>
  <c r="J7" i="12"/>
  <c r="H24" i="14"/>
  <c r="I24" i="14"/>
  <c r="K55" i="5"/>
  <c r="J55" i="5"/>
  <c r="J17" i="9"/>
  <c r="I17" i="9"/>
  <c r="I10" i="10"/>
  <c r="J10" i="10"/>
  <c r="I8" i="10"/>
  <c r="J8" i="10"/>
  <c r="J9" i="9"/>
  <c r="I9" i="9"/>
  <c r="J30" i="5"/>
  <c r="K30" i="5"/>
  <c r="H18" i="19"/>
  <c r="K351" i="17"/>
  <c r="J18" i="5"/>
  <c r="K18" i="5"/>
  <c r="J40" i="9"/>
  <c r="I40" i="9"/>
  <c r="J25" i="5"/>
  <c r="K25" i="5"/>
  <c r="H5" i="14"/>
  <c r="I5" i="14"/>
  <c r="J43" i="9"/>
  <c r="I43" i="9"/>
  <c r="J35" i="8"/>
  <c r="K35" i="8"/>
  <c r="J9" i="15"/>
  <c r="I9" i="15"/>
  <c r="J21" i="19"/>
  <c r="I21" i="19"/>
  <c r="K25" i="16"/>
  <c r="J25" i="16"/>
  <c r="J40" i="5"/>
  <c r="K40" i="5"/>
  <c r="I3" i="12"/>
  <c r="J3" i="12"/>
  <c r="K48" i="5"/>
  <c r="J48" i="5"/>
  <c r="J30" i="12"/>
  <c r="I30" i="12"/>
  <c r="J5" i="9"/>
  <c r="I5" i="9"/>
  <c r="I33" i="12"/>
  <c r="J33" i="12"/>
  <c r="I17" i="14"/>
  <c r="H17" i="14"/>
  <c r="J24" i="9"/>
  <c r="I24" i="9"/>
  <c r="I8" i="15"/>
  <c r="J8" i="15"/>
  <c r="J38" i="5"/>
  <c r="K38" i="5"/>
  <c r="J55" i="9"/>
  <c r="I55" i="9"/>
  <c r="J54" i="5"/>
  <c r="K54" i="5"/>
  <c r="I31" i="9"/>
  <c r="J31" i="9"/>
  <c r="J49" i="5"/>
  <c r="K49" i="5"/>
  <c r="J28" i="9"/>
  <c r="I28" i="9"/>
  <c r="J13" i="15"/>
  <c r="I13" i="15"/>
  <c r="I23" i="9"/>
  <c r="J23" i="9"/>
  <c r="H15" i="14"/>
  <c r="I15" i="14"/>
  <c r="I26" i="16"/>
  <c r="K328" i="17"/>
  <c r="I19" i="9"/>
  <c r="J19" i="9"/>
  <c r="I30" i="19"/>
  <c r="J30" i="19"/>
  <c r="J43" i="8"/>
  <c r="K43" i="8"/>
  <c r="I11" i="19"/>
  <c r="J11" i="19"/>
  <c r="J6" i="19"/>
  <c r="I6" i="19"/>
  <c r="J23" i="16"/>
  <c r="K23" i="16"/>
  <c r="J36" i="8"/>
  <c r="K36" i="8"/>
  <c r="I11" i="15"/>
  <c r="J11" i="15"/>
  <c r="J2" i="12"/>
  <c r="I2" i="12"/>
  <c r="K2" i="5"/>
  <c r="J2" i="5"/>
  <c r="J17" i="5"/>
  <c r="K17" i="5"/>
  <c r="K46" i="5"/>
  <c r="J46" i="5"/>
  <c r="I14" i="14"/>
  <c r="H14" i="14"/>
  <c r="J25" i="9"/>
  <c r="I25" i="9"/>
  <c r="J7" i="5"/>
  <c r="K7" i="5"/>
  <c r="J29" i="12"/>
  <c r="I29" i="12"/>
  <c r="J28" i="20"/>
  <c r="K28" i="20"/>
  <c r="J45" i="9"/>
  <c r="I45" i="9"/>
  <c r="J34" i="9"/>
  <c r="I34" i="9"/>
  <c r="K60" i="5"/>
  <c r="J60" i="5"/>
  <c r="I22" i="9"/>
  <c r="J22" i="9"/>
  <c r="I32" i="9"/>
  <c r="J32" i="9"/>
  <c r="K388" i="17"/>
  <c r="I20" i="20"/>
  <c r="M55" i="9"/>
  <c r="L181" i="17"/>
  <c r="K38" i="8"/>
  <c r="J38" i="8"/>
  <c r="K44" i="5"/>
  <c r="J44" i="5"/>
  <c r="I16" i="20"/>
  <c r="K384" i="17"/>
  <c r="J28" i="5"/>
  <c r="K28" i="5"/>
  <c r="H6" i="14"/>
  <c r="I6" i="14"/>
  <c r="K22" i="16"/>
  <c r="J22" i="16"/>
  <c r="K59" i="5"/>
  <c r="J59" i="5"/>
  <c r="I2" i="9"/>
  <c r="J2" i="9"/>
  <c r="M52" i="9"/>
  <c r="L178" i="17"/>
  <c r="K4" i="5"/>
  <c r="J4" i="5"/>
  <c r="J11" i="8"/>
  <c r="K11" i="8"/>
  <c r="I17" i="12"/>
  <c r="J17" i="12"/>
  <c r="K3" i="20"/>
  <c r="J3" i="20"/>
  <c r="K19" i="16"/>
  <c r="J19" i="16"/>
  <c r="J36" i="20"/>
  <c r="K36" i="20"/>
  <c r="I3" i="19"/>
  <c r="J3" i="19"/>
  <c r="K34" i="5"/>
  <c r="J34" i="5"/>
  <c r="I23" i="12"/>
  <c r="J23" i="12"/>
  <c r="K31" i="5"/>
  <c r="J31" i="5"/>
  <c r="J53" i="5"/>
  <c r="K53" i="5"/>
  <c r="I15" i="19"/>
  <c r="J15" i="19"/>
  <c r="J14" i="20"/>
  <c r="K14" i="20"/>
  <c r="J6" i="20"/>
  <c r="K6" i="20"/>
  <c r="K37" i="5"/>
  <c r="J37" i="5"/>
  <c r="K18" i="8"/>
  <c r="J18" i="8"/>
  <c r="K10" i="8"/>
  <c r="J10" i="8"/>
  <c r="L182" i="17"/>
  <c r="M56" i="9"/>
  <c r="J21" i="12"/>
  <c r="I21" i="12"/>
  <c r="K8" i="5"/>
  <c r="J8" i="5"/>
  <c r="K24" i="5"/>
  <c r="J24" i="5"/>
  <c r="J9" i="8"/>
  <c r="K9" i="8"/>
  <c r="I16" i="14"/>
  <c r="H16" i="14"/>
  <c r="K39" i="8"/>
  <c r="J39" i="8"/>
  <c r="I27" i="12"/>
  <c r="J27" i="12"/>
  <c r="J16" i="8"/>
  <c r="K16" i="8"/>
  <c r="J15" i="5"/>
  <c r="K15" i="5"/>
  <c r="K41" i="5"/>
  <c r="J41" i="5"/>
  <c r="I4" i="14"/>
  <c r="H4" i="14"/>
  <c r="I2" i="14"/>
  <c r="H2" i="14"/>
  <c r="J9" i="5"/>
  <c r="K9" i="5"/>
  <c r="J37" i="9"/>
  <c r="I37" i="9"/>
  <c r="J15" i="9"/>
  <c r="I15" i="9"/>
  <c r="K9" i="16"/>
  <c r="J9" i="16"/>
  <c r="J2" i="19"/>
  <c r="I2" i="19"/>
  <c r="J33" i="5"/>
  <c r="K33" i="5"/>
  <c r="I3" i="15"/>
  <c r="J3" i="15"/>
  <c r="K37" i="8"/>
  <c r="J37" i="8"/>
  <c r="J49" i="12"/>
  <c r="I49" i="12"/>
  <c r="K5" i="8"/>
  <c r="J5" i="8"/>
  <c r="J29" i="8"/>
  <c r="K29" i="8"/>
  <c r="K57" i="5"/>
  <c r="J57" i="5"/>
  <c r="I4" i="12"/>
  <c r="J4" i="12"/>
  <c r="L177" i="17"/>
  <c r="M51" i="9"/>
  <c r="K22" i="8"/>
  <c r="J22" i="8"/>
  <c r="I22" i="14"/>
  <c r="H22" i="14"/>
  <c r="H18" i="14"/>
  <c r="I18" i="14"/>
  <c r="J20" i="8"/>
  <c r="K20" i="8"/>
  <c r="H20" i="19"/>
  <c r="K353" i="17"/>
  <c r="I53" i="9"/>
  <c r="J53" i="9"/>
  <c r="K14" i="8"/>
  <c r="J14" i="8"/>
  <c r="I17" i="19"/>
  <c r="J17" i="19"/>
  <c r="H7" i="14"/>
  <c r="I7" i="14"/>
  <c r="H8" i="14"/>
  <c r="I8" i="14"/>
  <c r="J26" i="12"/>
  <c r="I26" i="12"/>
  <c r="K62" i="5"/>
  <c r="J62" i="5"/>
  <c r="K43" i="5"/>
  <c r="J43" i="5"/>
  <c r="J5" i="15"/>
  <c r="I5" i="15"/>
  <c r="J36" i="9"/>
  <c r="I36" i="9"/>
  <c r="I41" i="12"/>
  <c r="J41" i="12"/>
  <c r="I10" i="19"/>
  <c r="J10" i="19"/>
  <c r="J29" i="19"/>
  <c r="I29" i="19"/>
  <c r="K36" i="5"/>
  <c r="J36" i="5"/>
  <c r="H4" i="10"/>
  <c r="K189" i="17"/>
  <c r="I39" i="9"/>
  <c r="J39" i="9"/>
  <c r="I10" i="14"/>
  <c r="H10" i="14"/>
  <c r="J27" i="8"/>
  <c r="K27" i="8"/>
  <c r="J6" i="12"/>
  <c r="I6" i="12"/>
  <c r="J5" i="5"/>
  <c r="K5" i="5"/>
  <c r="J4" i="8"/>
  <c r="K4" i="8"/>
  <c r="I11" i="10"/>
  <c r="J11" i="10"/>
  <c r="K24" i="8"/>
  <c r="J24" i="8"/>
  <c r="I12" i="10"/>
  <c r="J12" i="10"/>
  <c r="J24" i="20"/>
  <c r="K24" i="20"/>
  <c r="J5" i="19"/>
  <c r="I5" i="19"/>
  <c r="I26" i="9"/>
  <c r="J26" i="9"/>
  <c r="K12" i="8"/>
  <c r="J12" i="8"/>
  <c r="H13" i="14"/>
  <c r="I13" i="14"/>
  <c r="H21" i="14"/>
  <c r="I21" i="14"/>
  <c r="J19" i="10"/>
  <c r="I19" i="10"/>
  <c r="K11" i="5"/>
  <c r="J11" i="5"/>
  <c r="I32" i="12"/>
  <c r="J32" i="12"/>
  <c r="J18" i="9"/>
  <c r="I18" i="9"/>
  <c r="J15" i="20"/>
  <c r="K15" i="20"/>
  <c r="I16" i="19"/>
  <c r="J16" i="19"/>
  <c r="J2" i="16"/>
  <c r="K2" i="16"/>
  <c r="J34" i="20"/>
  <c r="K34" i="20"/>
  <c r="I6" i="9"/>
  <c r="J6" i="9"/>
  <c r="J30" i="8"/>
  <c r="K30" i="8"/>
  <c r="J27" i="20"/>
  <c r="K27" i="20"/>
  <c r="J13" i="9"/>
  <c r="I13" i="9"/>
  <c r="J27" i="9"/>
  <c r="I27" i="9"/>
  <c r="M48" i="9"/>
  <c r="L174" i="17"/>
  <c r="J40" i="8"/>
  <c r="K40" i="8"/>
  <c r="J22" i="20"/>
  <c r="K22" i="20"/>
  <c r="J46" i="9"/>
  <c r="I46" i="9"/>
  <c r="H20" i="14"/>
  <c r="I20" i="14"/>
  <c r="H19" i="14"/>
  <c r="I19" i="14"/>
  <c r="J7" i="9"/>
  <c r="I7" i="9"/>
  <c r="L175" i="17"/>
  <c r="M49" i="9"/>
  <c r="K33" i="8"/>
  <c r="J33" i="8"/>
  <c r="J13" i="10"/>
  <c r="I13" i="10"/>
  <c r="J17" i="8"/>
  <c r="K17" i="8"/>
  <c r="J19" i="20"/>
  <c r="K19" i="20"/>
  <c r="J21" i="16"/>
  <c r="K21" i="16"/>
  <c r="J18" i="12"/>
  <c r="I18" i="12"/>
  <c r="J21" i="8"/>
  <c r="K21" i="8"/>
  <c r="I18" i="10"/>
  <c r="J18" i="10"/>
  <c r="J41" i="8"/>
  <c r="K41" i="8"/>
  <c r="I51" i="9"/>
  <c r="J51" i="9"/>
  <c r="J39" i="5"/>
  <c r="K39" i="5"/>
  <c r="K58" i="5"/>
  <c r="J58" i="5"/>
  <c r="L254" i="17"/>
  <c r="M44" i="12"/>
  <c r="I52" i="9"/>
  <c r="J52" i="9"/>
  <c r="H11" i="14"/>
  <c r="I11" i="14"/>
  <c r="J13" i="12"/>
  <c r="I13" i="12"/>
  <c r="J9" i="19"/>
  <c r="I9" i="19"/>
  <c r="J21" i="20"/>
  <c r="K21" i="20"/>
  <c r="I12" i="14"/>
  <c r="H12" i="14"/>
  <c r="I3" i="14"/>
  <c r="H3" i="14"/>
  <c r="I29" i="9"/>
  <c r="J29" i="9"/>
  <c r="J2" i="15"/>
  <c r="I2" i="15"/>
  <c r="I10" i="9"/>
  <c r="J10" i="9"/>
  <c r="J14" i="19"/>
  <c r="I14" i="19"/>
  <c r="K8" i="8"/>
  <c r="J8" i="8"/>
  <c r="J6" i="15"/>
  <c r="I6" i="15"/>
  <c r="J33" i="20"/>
  <c r="K33" i="20"/>
  <c r="K12" i="16"/>
  <c r="J12" i="16"/>
  <c r="J16" i="5"/>
  <c r="K16" i="5"/>
  <c r="I48" i="9"/>
  <c r="J48" i="9"/>
  <c r="J4" i="15"/>
  <c r="I4" i="15"/>
  <c r="J14" i="9"/>
  <c r="I14" i="9"/>
  <c r="I12" i="15"/>
  <c r="J12" i="15"/>
  <c r="I40" i="12"/>
  <c r="J40" i="12"/>
  <c r="K7" i="8"/>
  <c r="J7" i="8"/>
  <c r="J7" i="15"/>
  <c r="I7" i="15"/>
  <c r="I11" i="9"/>
  <c r="J11" i="9"/>
  <c r="K13" i="8"/>
  <c r="J13" i="8"/>
  <c r="I16" i="12"/>
  <c r="J16" i="12"/>
  <c r="K8" i="20"/>
  <c r="J8" i="20"/>
  <c r="J50" i="5"/>
  <c r="K50" i="5"/>
  <c r="J38" i="12"/>
  <c r="I38" i="12"/>
  <c r="J12" i="5"/>
  <c r="K12" i="5"/>
  <c r="J7" i="10"/>
  <c r="I7" i="10"/>
  <c r="I42" i="9"/>
  <c r="J42" i="9"/>
  <c r="J3" i="8"/>
  <c r="K3" i="8"/>
  <c r="K29" i="5"/>
  <c r="J29" i="5"/>
  <c r="J25" i="19"/>
  <c r="I25" i="19"/>
  <c r="K11" i="20"/>
  <c r="J11" i="20"/>
  <c r="J29" i="20"/>
  <c r="K29" i="20"/>
  <c r="J11" i="16"/>
  <c r="K11" i="16"/>
  <c r="J24" i="16"/>
  <c r="K24" i="16"/>
  <c r="K47" i="5" l="1"/>
  <c r="J31" i="12"/>
  <c r="D230" i="2"/>
  <c r="J12" i="20"/>
  <c r="J14" i="10"/>
  <c r="J15" i="16"/>
  <c r="K2" i="20"/>
  <c r="K35" i="20"/>
  <c r="J32" i="5"/>
  <c r="K42" i="5"/>
  <c r="J31" i="8"/>
  <c r="K27" i="5"/>
  <c r="K19" i="5"/>
  <c r="K6" i="5"/>
  <c r="K42" i="8"/>
  <c r="I21" i="10"/>
  <c r="J18" i="17"/>
  <c r="O19" i="1" s="1"/>
  <c r="J5" i="12"/>
  <c r="J21" i="9"/>
  <c r="J23" i="5"/>
  <c r="J12" i="9"/>
  <c r="J44" i="9"/>
  <c r="J35" i="9"/>
  <c r="J44" i="12"/>
  <c r="H17" i="17"/>
  <c r="M17" i="1" s="1"/>
  <c r="D7" i="17" s="1"/>
  <c r="I15" i="10"/>
  <c r="I10" i="12"/>
  <c r="J63" i="5"/>
  <c r="J8" i="9"/>
  <c r="K13" i="20"/>
  <c r="M50" i="12"/>
  <c r="K61" i="5"/>
  <c r="K20" i="5"/>
  <c r="I16" i="9"/>
  <c r="K32" i="20"/>
  <c r="K21" i="5"/>
  <c r="K25" i="8"/>
  <c r="J22" i="12"/>
  <c r="J28" i="12"/>
  <c r="I54" i="9"/>
  <c r="K30" i="20"/>
  <c r="J49" i="9"/>
  <c r="K2" i="8"/>
  <c r="J28" i="19"/>
  <c r="K32" i="8"/>
  <c r="K6" i="8"/>
  <c r="N32" i="8"/>
  <c r="K26" i="20"/>
  <c r="I10" i="15"/>
  <c r="I50" i="12"/>
  <c r="J3" i="5"/>
  <c r="I24" i="12"/>
  <c r="J14" i="16"/>
  <c r="D35" i="2"/>
  <c r="I15" i="8" s="1"/>
  <c r="K15" i="8" s="1"/>
  <c r="L50" i="17"/>
  <c r="I57" i="9"/>
  <c r="J10" i="20"/>
  <c r="J19" i="12"/>
  <c r="K25" i="20"/>
  <c r="I38" i="9"/>
  <c r="K56" i="5"/>
  <c r="J38" i="20"/>
  <c r="J28" i="8"/>
  <c r="I26" i="19"/>
  <c r="K31" i="20"/>
  <c r="I22" i="19"/>
  <c r="J37" i="12"/>
  <c r="I23" i="10"/>
  <c r="I4" i="19"/>
  <c r="K37" i="20"/>
  <c r="J24" i="19"/>
  <c r="K4" i="20"/>
  <c r="K27" i="16"/>
  <c r="K10" i="5"/>
  <c r="K13" i="5"/>
  <c r="D190" i="2"/>
  <c r="H5" i="10" s="1"/>
  <c r="I5" i="10" s="1"/>
  <c r="D85" i="2"/>
  <c r="K85" i="17" s="1"/>
  <c r="K98" i="17"/>
  <c r="I25" i="12"/>
  <c r="J35" i="5"/>
  <c r="K35" i="5"/>
  <c r="J18" i="16"/>
  <c r="K53" i="17"/>
  <c r="J41" i="9"/>
  <c r="J17" i="20"/>
  <c r="K205" i="17"/>
  <c r="J39" i="12"/>
  <c r="K18" i="20"/>
  <c r="P113" i="6"/>
  <c r="S113" i="6" s="1"/>
  <c r="J9" i="20"/>
  <c r="I56" i="9"/>
  <c r="I30" i="9"/>
  <c r="J45" i="12"/>
  <c r="I20" i="10"/>
  <c r="I42" i="12"/>
  <c r="I4" i="9"/>
  <c r="J51" i="5"/>
  <c r="W197" i="2"/>
  <c r="I33" i="9"/>
  <c r="I19" i="8"/>
  <c r="K20" i="16"/>
  <c r="J16" i="16"/>
  <c r="L230" i="17"/>
  <c r="J50" i="9"/>
  <c r="K34" i="8"/>
  <c r="L38" i="17"/>
  <c r="J27" i="19"/>
  <c r="J3" i="9"/>
  <c r="J10" i="16"/>
  <c r="K115" i="17"/>
  <c r="V114" i="2"/>
  <c r="V115" i="2"/>
  <c r="Q93" i="6" s="1"/>
  <c r="S93" i="6" s="1"/>
  <c r="D209" i="2"/>
  <c r="K5" i="20"/>
  <c r="L270" i="17"/>
  <c r="L7" i="14"/>
  <c r="L13" i="14"/>
  <c r="L276" i="17"/>
  <c r="L188" i="17"/>
  <c r="M3" i="10"/>
  <c r="K191" i="2"/>
  <c r="M191" i="2"/>
  <c r="L191" i="2"/>
  <c r="L191" i="17"/>
  <c r="M6" i="10"/>
  <c r="L190" i="17"/>
  <c r="M5" i="10"/>
  <c r="N15" i="8"/>
  <c r="L34" i="17"/>
  <c r="L209" i="17"/>
  <c r="M24" i="10"/>
  <c r="M4" i="10"/>
  <c r="L189" i="17"/>
  <c r="N20" i="8"/>
  <c r="L39" i="17"/>
  <c r="N30" i="8"/>
  <c r="L49" i="17"/>
  <c r="M49" i="12"/>
  <c r="L259" i="17"/>
  <c r="L187" i="2"/>
  <c r="Y197" i="2"/>
  <c r="J187" i="2"/>
  <c r="M187" i="2"/>
  <c r="K187" i="2"/>
  <c r="M20" i="10"/>
  <c r="L205" i="17"/>
  <c r="N18" i="16"/>
  <c r="L320" i="17"/>
  <c r="J13" i="19"/>
  <c r="J52" i="5"/>
  <c r="K52" i="5"/>
  <c r="K26" i="8"/>
  <c r="G108" i="2"/>
  <c r="J30" i="16"/>
  <c r="I23" i="19"/>
  <c r="L108" i="2"/>
  <c r="K28" i="16"/>
  <c r="J43" i="12"/>
  <c r="K108" i="2"/>
  <c r="I108" i="2"/>
  <c r="M108" i="2"/>
  <c r="E108" i="2"/>
  <c r="J108" i="2"/>
  <c r="F108" i="2"/>
  <c r="M202" i="2"/>
  <c r="K194" i="2"/>
  <c r="M201" i="2"/>
  <c r="L202" i="2"/>
  <c r="J194" i="2"/>
  <c r="L201" i="2"/>
  <c r="J201" i="2"/>
  <c r="L194" i="2"/>
  <c r="J202" i="2"/>
  <c r="K202" i="2"/>
  <c r="K201" i="2"/>
  <c r="M194" i="2"/>
  <c r="L207" i="17"/>
  <c r="M22" i="10"/>
  <c r="K207" i="2"/>
  <c r="J207" i="2"/>
  <c r="L207" i="2"/>
  <c r="M207" i="2"/>
  <c r="I207" i="2"/>
  <c r="J7" i="20"/>
  <c r="K23" i="20"/>
  <c r="K13" i="16"/>
  <c r="J29" i="16"/>
  <c r="K20" i="20"/>
  <c r="J20" i="20"/>
  <c r="J4" i="10"/>
  <c r="I4" i="10"/>
  <c r="J16" i="20"/>
  <c r="K16" i="20"/>
  <c r="B7" i="17" l="1"/>
  <c r="Q9" i="17" s="1"/>
  <c r="C7" i="17"/>
  <c r="G7" i="17"/>
  <c r="K18" i="1" s="1"/>
  <c r="H7" i="17"/>
  <c r="L18" i="1" s="1"/>
  <c r="F7" i="17"/>
  <c r="J18" i="1" s="1"/>
  <c r="K34" i="17"/>
  <c r="H16" i="17" s="1"/>
  <c r="M15" i="1" s="1"/>
  <c r="J15" i="8"/>
  <c r="K190" i="17"/>
  <c r="I22" i="5"/>
  <c r="J22" i="5" s="1"/>
  <c r="J5" i="10"/>
  <c r="K19" i="8"/>
  <c r="J19" i="8"/>
  <c r="D191" i="2"/>
  <c r="H6" i="10" s="1"/>
  <c r="N34" i="8"/>
  <c r="L53" i="17"/>
  <c r="J16" i="17" s="1"/>
  <c r="O15" i="1" s="1"/>
  <c r="M2" i="10"/>
  <c r="L187" i="17"/>
  <c r="D108" i="2"/>
  <c r="I45" i="5" s="1"/>
  <c r="L52" i="17"/>
  <c r="N33" i="8"/>
  <c r="D187" i="2"/>
  <c r="K230" i="17"/>
  <c r="H20" i="12"/>
  <c r="H24" i="10"/>
  <c r="K209" i="17"/>
  <c r="L109" i="17"/>
  <c r="M46" i="5"/>
  <c r="D201" i="2"/>
  <c r="K201" i="17" s="1"/>
  <c r="D194" i="2"/>
  <c r="K194" i="17" s="1"/>
  <c r="D202" i="2"/>
  <c r="H17" i="10" s="1"/>
  <c r="D207" i="2"/>
  <c r="H22" i="10" s="1"/>
  <c r="Q8" i="17" l="1"/>
  <c r="Q6" i="17"/>
  <c r="Q4" i="17"/>
  <c r="Q7" i="17"/>
  <c r="Q10" i="17"/>
  <c r="Q5" i="17"/>
  <c r="Q11" i="17"/>
  <c r="H5" i="17"/>
  <c r="L16" i="1" s="1"/>
  <c r="F5" i="17"/>
  <c r="J16" i="1" s="1"/>
  <c r="G5" i="17"/>
  <c r="K16" i="1" s="1"/>
  <c r="B5" i="17"/>
  <c r="C5" i="17"/>
  <c r="D5" i="17"/>
  <c r="K22" i="5"/>
  <c r="K191" i="17"/>
  <c r="J20" i="12"/>
  <c r="I20" i="12"/>
  <c r="I24" i="10"/>
  <c r="J24" i="10"/>
  <c r="K108" i="17"/>
  <c r="H18" i="17" s="1"/>
  <c r="M19" i="1" s="1"/>
  <c r="H16" i="10"/>
  <c r="J16" i="10" s="1"/>
  <c r="K187" i="17"/>
  <c r="H2" i="10"/>
  <c r="J6" i="10"/>
  <c r="I6" i="10"/>
  <c r="H9" i="10"/>
  <c r="I9" i="10" s="1"/>
  <c r="K202" i="17"/>
  <c r="K207" i="17"/>
  <c r="I22" i="10"/>
  <c r="J22" i="10"/>
  <c r="J17" i="10"/>
  <c r="I17" i="10"/>
  <c r="J45" i="5"/>
  <c r="K45" i="5"/>
  <c r="O17" i="17" l="1"/>
  <c r="N17" i="17" s="1"/>
  <c r="H9" i="17"/>
  <c r="L20" i="1" s="1"/>
  <c r="B9" i="17"/>
  <c r="C9" i="17"/>
  <c r="G9" i="17"/>
  <c r="K20" i="1" s="1"/>
  <c r="F9" i="17"/>
  <c r="J20" i="1" s="1"/>
  <c r="D9" i="17"/>
  <c r="J2" i="10"/>
  <c r="I2" i="10"/>
  <c r="J9" i="10"/>
  <c r="I1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Chan</author>
  </authors>
  <commentList>
    <comment ref="K14" authorId="0" shapeId="0" xr:uid="{C2474309-6693-42C4-84FA-E5EAC1FC4DAC}">
      <text>
        <r>
          <rPr>
            <b/>
            <sz val="9"/>
            <color indexed="81"/>
            <rFont val="細明體"/>
            <family val="3"/>
            <charset val="136"/>
          </rPr>
          <t>或</t>
        </r>
        <r>
          <rPr>
            <b/>
            <sz val="9"/>
            <color indexed="81"/>
            <rFont val="Tahoma"/>
            <family val="2"/>
          </rPr>
          <t>Mean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Michael</author>
    <author>Michael Chan</author>
  </authors>
  <commentList>
    <comment ref="M1" authorId="0" shapeId="0" xr:uid="{48237376-F7A0-4080-AC08-F9569078393C}">
      <text>
        <r>
          <rPr>
            <b/>
            <sz val="9"/>
            <color indexed="81"/>
            <rFont val="Tahoma"/>
            <family val="2"/>
          </rPr>
          <t>2019</t>
        </r>
        <r>
          <rPr>
            <b/>
            <sz val="9"/>
            <color indexed="81"/>
            <rFont val="細明體"/>
            <family val="3"/>
            <charset val="136"/>
          </rPr>
          <t>年</t>
        </r>
        <r>
          <rPr>
            <b/>
            <sz val="9"/>
            <color indexed="81"/>
            <rFont val="Tahoma"/>
            <family val="2"/>
          </rPr>
          <t xml:space="preserve"> JUPAS Band A </t>
        </r>
        <r>
          <rPr>
            <b/>
            <sz val="9"/>
            <color indexed="81"/>
            <rFont val="細明體"/>
            <family val="3"/>
            <charset val="136"/>
          </rPr>
          <t>收生人數</t>
        </r>
        <r>
          <rPr>
            <sz val="9"/>
            <color indexed="81"/>
            <rFont val="Tahoma"/>
            <family val="2"/>
          </rPr>
          <t xml:space="preserve">
</t>
        </r>
      </text>
    </comment>
    <comment ref="E2" authorId="1" shapeId="0" xr:uid="{D0061130-2FFC-4513-94D4-F69753E83928}">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
Consideration of both Category A and C subjects, in
which </t>
        </r>
        <r>
          <rPr>
            <b/>
            <sz val="9"/>
            <color indexed="81"/>
            <rFont val="Tahoma"/>
            <family val="2"/>
          </rPr>
          <t>M1/M2 can be included</t>
        </r>
        <r>
          <rPr>
            <sz val="9"/>
            <color indexed="81"/>
            <rFont val="Tahoma"/>
            <family val="2"/>
          </rPr>
          <t xml:space="preserve"> as an elective.</t>
        </r>
      </text>
    </comment>
    <comment ref="N2" authorId="0" shapeId="0" xr:uid="{6515DE35-C5FA-4F00-B780-B5B27FB6A2FC}">
      <text>
        <r>
          <rPr>
            <sz val="9"/>
            <color indexed="81"/>
            <rFont val="Tahoma"/>
            <family val="2"/>
          </rPr>
          <t xml:space="preserve">Candidates are required to take part in the </t>
        </r>
        <r>
          <rPr>
            <b/>
            <sz val="9"/>
            <color indexed="81"/>
            <rFont val="Tahoma"/>
            <family val="2"/>
          </rPr>
          <t>Aptitude Exercise</t>
        </r>
        <r>
          <rPr>
            <sz val="9"/>
            <color indexed="81"/>
            <rFont val="Tahoma"/>
            <family val="2"/>
          </rPr>
          <t xml:space="preserve">.
Instructionsfor taking part in the Aptitude Exercise will be sent to all potential candidates via </t>
        </r>
        <r>
          <rPr>
            <b/>
            <sz val="9"/>
            <color indexed="81"/>
            <rFont val="Tahoma"/>
            <family val="2"/>
          </rPr>
          <t>e-mail</t>
        </r>
        <r>
          <rPr>
            <sz val="9"/>
            <color indexed="81"/>
            <rFont val="Tahoma"/>
            <family val="2"/>
          </rPr>
          <t xml:space="preserve"> and posted on the </t>
        </r>
        <r>
          <rPr>
            <b/>
            <sz val="9"/>
            <color indexed="81"/>
            <rFont val="Tahoma"/>
            <family val="2"/>
          </rPr>
          <t>programme website</t>
        </r>
        <r>
          <rPr>
            <sz val="9"/>
            <color indexed="81"/>
            <rFont val="Tahoma"/>
            <family val="2"/>
          </rPr>
          <t xml:space="preserve">.
</t>
        </r>
      </text>
    </comment>
    <comment ref="E3" authorId="0" shapeId="0" xr:uid="{02C00FD8-D991-4E1C-930F-FBA16CCF151F}">
      <text>
        <r>
          <rPr>
            <sz val="9"/>
            <color indexed="81"/>
            <rFont val="Tahoma"/>
            <family val="2"/>
          </rPr>
          <t xml:space="preserve">Consideration of both Category A and C subjects, </t>
        </r>
        <r>
          <rPr>
            <b/>
            <sz val="9"/>
            <color indexed="81"/>
            <rFont val="Tahoma"/>
            <family val="2"/>
          </rPr>
          <t>excluding M1/M2.</t>
        </r>
      </text>
    </comment>
    <comment ref="E4" authorId="0" shapeId="0" xr:uid="{4DB726A4-CA7F-4961-A7A9-11DCAC742CBD}">
      <text>
        <r>
          <rPr>
            <sz val="9"/>
            <color indexed="81"/>
            <rFont val="Tahoma"/>
            <family val="2"/>
          </rPr>
          <t>Consideration of both Category A and C subjects,</t>
        </r>
        <r>
          <rPr>
            <b/>
            <sz val="9"/>
            <color indexed="81"/>
            <rFont val="Tahoma"/>
            <family val="2"/>
          </rPr>
          <t xml:space="preserve"> excluding M1/M2.</t>
        </r>
      </text>
    </comment>
    <comment ref="N4" authorId="0" shapeId="0" xr:uid="{31D41733-6494-401C-A746-2AF110C6A596}">
      <text>
        <r>
          <rPr>
            <sz val="9"/>
            <color indexed="81"/>
            <rFont val="Tahoma"/>
            <family val="2"/>
          </rPr>
          <t>Candidates are not required but e</t>
        </r>
        <r>
          <rPr>
            <b/>
            <sz val="9"/>
            <color indexed="81"/>
            <rFont val="Tahoma"/>
            <family val="2"/>
          </rPr>
          <t>ncouraged to submit one example of creative works</t>
        </r>
        <r>
          <rPr>
            <sz val="9"/>
            <color indexed="81"/>
            <rFont val="Tahoma"/>
            <family val="2"/>
          </rPr>
          <t xml:space="preserve"> (arts, writing, or other forms of creative output) for consideration. The portfolio and letters of recommendation (if any), should be submitted as hardcopies to the Faculty office directly.</t>
        </r>
      </text>
    </comment>
    <comment ref="E5" authorId="0" shapeId="0" xr:uid="{3813CC12-B9FB-4A56-B13F-19483706A5C0}">
      <text>
        <r>
          <rPr>
            <sz val="9"/>
            <color indexed="81"/>
            <rFont val="Tahoma"/>
            <family val="2"/>
          </rPr>
          <t xml:space="preserve">Consideration of both Category A and C subjects, </t>
        </r>
        <r>
          <rPr>
            <b/>
            <sz val="9"/>
            <color indexed="81"/>
            <rFont val="Tahoma"/>
            <family val="2"/>
          </rPr>
          <t xml:space="preserve">excluding M1/M2.
</t>
        </r>
      </text>
    </comment>
    <comment ref="E6" authorId="0" shapeId="0" xr:uid="{F06B5E68-835E-408D-8626-4D8F980637EA}">
      <text>
        <r>
          <rPr>
            <sz val="9"/>
            <color indexed="81"/>
            <rFont val="Tahoma"/>
            <family val="2"/>
          </rPr>
          <t xml:space="preserve">Consideration of both Category A and C subjects, </t>
        </r>
        <r>
          <rPr>
            <b/>
            <sz val="9"/>
            <color indexed="81"/>
            <rFont val="Tahoma"/>
            <family val="2"/>
          </rPr>
          <t xml:space="preserve">excluding M1/M2.
</t>
        </r>
      </text>
    </comment>
    <comment ref="E7" authorId="0" shapeId="0" xr:uid="{7198B3B8-2B86-4207-B915-DD86D1C2DA86}">
      <text>
        <r>
          <rPr>
            <sz val="9"/>
            <color indexed="81"/>
            <rFont val="Tahoma"/>
            <family val="2"/>
          </rPr>
          <t xml:space="preserve">Consideration of both Category A and C subjects, </t>
        </r>
        <r>
          <rPr>
            <b/>
            <sz val="9"/>
            <color indexed="81"/>
            <rFont val="Tahoma"/>
            <family val="2"/>
          </rPr>
          <t xml:space="preserve">excluding M1/M2.
</t>
        </r>
        <r>
          <rPr>
            <sz val="9"/>
            <color indexed="81"/>
            <rFont val="Tahoma"/>
            <family val="2"/>
          </rPr>
          <t xml:space="preserve">
The best 5 subjects must </t>
        </r>
        <r>
          <rPr>
            <b/>
            <sz val="9"/>
            <color indexed="81"/>
            <rFont val="Tahoma"/>
            <family val="2"/>
          </rPr>
          <t>include English Language</t>
        </r>
        <r>
          <rPr>
            <sz val="9"/>
            <color indexed="81"/>
            <rFont val="Tahoma"/>
            <family val="2"/>
          </rPr>
          <t xml:space="preserve">
</t>
        </r>
      </text>
    </comment>
    <comment ref="E8" authorId="0" shapeId="0" xr:uid="{9F55673C-C570-48E0-AF3E-E4334716FF63}">
      <text>
        <r>
          <rPr>
            <sz val="9"/>
            <color indexed="81"/>
            <rFont val="Tahoma"/>
            <family val="2"/>
          </rPr>
          <t xml:space="preserve">Must </t>
        </r>
        <r>
          <rPr>
            <b/>
            <sz val="9"/>
            <color indexed="81"/>
            <rFont val="Tahoma"/>
            <family val="2"/>
          </rPr>
          <t>include English Language, Mathematics</t>
        </r>
        <r>
          <rPr>
            <sz val="9"/>
            <color indexed="81"/>
            <rFont val="Tahoma"/>
            <family val="2"/>
          </rPr>
          <t xml:space="preserve">
</t>
        </r>
        <r>
          <rPr>
            <b/>
            <sz val="9"/>
            <color indexed="81"/>
            <rFont val="Tahoma"/>
            <family val="2"/>
          </rPr>
          <t>English Language, Mathematics</t>
        </r>
        <r>
          <rPr>
            <sz val="9"/>
            <color indexed="81"/>
            <rFont val="Tahoma"/>
            <family val="2"/>
          </rPr>
          <t xml:space="preserve"> with heavier weighting.
</t>
        </r>
      </text>
    </comment>
    <comment ref="L8" authorId="0" shapeId="0" xr:uid="{D744CCC1-CCEF-4485-B538-BD6B73040E62}">
      <text>
        <r>
          <rPr>
            <b/>
            <sz val="9"/>
            <color indexed="81"/>
            <rFont val="Tahoma"/>
            <family val="2"/>
          </rPr>
          <t>Combined Figure</t>
        </r>
        <r>
          <rPr>
            <sz val="9"/>
            <color indexed="81"/>
            <rFont val="Tahoma"/>
            <family val="2"/>
          </rPr>
          <t xml:space="preserve"> for JS6767, 6781 &amp; 6860</t>
        </r>
      </text>
    </comment>
    <comment ref="E9" authorId="1" shapeId="0" xr:uid="{A6EF9288-82E0-49EA-B025-BBC91EFCD238}">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The best 6 subjects must include English Language, Mathematics.
M1/M2 can be included in lieu of Mathematics.
Weighting: English Language, Mathematics, M1/M2
</t>
        </r>
      </text>
    </comment>
    <comment ref="E10" authorId="1" shapeId="0" xr:uid="{088C0969-C5D8-47AE-9236-6D9FFDE34B82}">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The best 6 subjects must include English Language, Mathematics
M1/M2 can be included.
Weighting: English Language, Mathematics</t>
        </r>
      </text>
    </comment>
    <comment ref="E11" authorId="1" shapeId="0" xr:uid="{C97A629B-5D99-4767-8AA9-52E9CE5DCC4D}">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The best 6 subjects must include English Language, Mathematics
M1/M2 can be included.
Weighting: English Language, Mathematics
</t>
        </r>
      </text>
    </comment>
    <comment ref="T11" authorId="0" shapeId="0" xr:uid="{C2BC39B7-A476-44D5-A3E6-F9F1B4672949}">
      <text>
        <r>
          <rPr>
            <b/>
            <sz val="9"/>
            <color indexed="81"/>
            <rFont val="Tahoma"/>
            <family val="2"/>
          </rPr>
          <t>One of the following at Level 3 or above:</t>
        </r>
        <r>
          <rPr>
            <sz val="9"/>
            <color indexed="81"/>
            <rFont val="Tahoma"/>
            <family val="2"/>
          </rPr>
          <t xml:space="preserve">
- Biology
- Chemistry
- Physics
- Combined Science
- ICT
- Integrated Science.
</t>
        </r>
      </text>
    </comment>
    <comment ref="U11" authorId="0" shapeId="0" xr:uid="{F4E3599D-A512-43AC-83A2-24A983681B3F}">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E12" authorId="0" shapeId="0" xr:uid="{0FB8D278-2123-48F8-A331-78C9EE210D50}">
      <text>
        <r>
          <rPr>
            <sz val="9"/>
            <color indexed="81"/>
            <rFont val="Tahoma"/>
            <family val="2"/>
          </rPr>
          <t xml:space="preserve">The best 6 subjects must include </t>
        </r>
        <r>
          <rPr>
            <b/>
            <sz val="9"/>
            <color indexed="81"/>
            <rFont val="Tahoma"/>
            <family val="2"/>
          </rPr>
          <t>English Language, Mathematics</t>
        </r>
        <r>
          <rPr>
            <sz val="9"/>
            <color indexed="81"/>
            <rFont val="Tahoma"/>
            <family val="2"/>
          </rPr>
          <t xml:space="preserve">,
plus the best four among the remaining subjects.
</t>
        </r>
        <r>
          <rPr>
            <b/>
            <sz val="9"/>
            <color indexed="81"/>
            <rFont val="Tahoma"/>
            <family val="2"/>
          </rPr>
          <t>M1/M2 can be included in lieu of Mathematics.</t>
        </r>
        <r>
          <rPr>
            <sz val="9"/>
            <color indexed="81"/>
            <rFont val="Tahoma"/>
            <family val="2"/>
          </rPr>
          <t xml:space="preserve">
</t>
        </r>
      </text>
    </comment>
    <comment ref="E13" authorId="0" shapeId="0" xr:uid="{E4FF5DF6-0062-4E05-839E-00BF6E379BF0}">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plus the best three among the remaining subjects.
</t>
        </r>
        <r>
          <rPr>
            <sz val="9"/>
            <color indexed="81"/>
            <rFont val="細明體"/>
            <family val="3"/>
            <charset val="136"/>
          </rPr>
          <t>最高比重</t>
        </r>
        <r>
          <rPr>
            <sz val="9"/>
            <color indexed="81"/>
            <rFont val="Tahoma"/>
            <family val="2"/>
          </rPr>
          <t xml:space="preserve">: English Language
</t>
        </r>
        <r>
          <rPr>
            <sz val="9"/>
            <color indexed="81"/>
            <rFont val="細明體"/>
            <family val="3"/>
            <charset val="136"/>
          </rPr>
          <t>較高比重</t>
        </r>
        <r>
          <rPr>
            <sz val="9"/>
            <color indexed="81"/>
            <rFont val="Tahoma"/>
            <family val="2"/>
          </rPr>
          <t>: Mathematics, M1/M2</t>
        </r>
      </text>
    </comment>
    <comment ref="U13" authorId="0" shapeId="0" xr:uid="{4D20043D-0548-40B2-AE60-F436DED70B70}">
      <text>
        <r>
          <rPr>
            <b/>
            <sz val="9"/>
            <color indexed="81"/>
            <rFont val="Tahoma"/>
            <family val="2"/>
          </rPr>
          <t>M1/2 is required.</t>
        </r>
        <r>
          <rPr>
            <sz val="9"/>
            <color indexed="81"/>
            <rFont val="Tahoma"/>
            <family val="2"/>
          </rPr>
          <t xml:space="preserve">
</t>
        </r>
      </text>
    </comment>
    <comment ref="E14" authorId="0" shapeId="0" xr:uid="{6B87D058-1AE8-4C0D-AD6B-AA6232B4048D}">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The best 6 subjects must include English Language, Mathematics
M1/M2 can be included.
Weighting: English Language, Mathematics
</t>
        </r>
      </text>
    </comment>
    <comment ref="E15" authorId="0" shapeId="0" xr:uid="{6D254E28-1511-46A8-AC35-F28E94D4DD4C}">
      <text>
        <r>
          <rPr>
            <sz val="9"/>
            <color indexed="81"/>
            <rFont val="Tahoma"/>
            <family val="2"/>
          </rPr>
          <t xml:space="preserve">The bes t 6 subjects must include a </t>
        </r>
        <r>
          <rPr>
            <b/>
            <sz val="9"/>
            <color indexed="81"/>
            <rFont val="Tahoma"/>
            <family val="2"/>
          </rPr>
          <t>Science elective</t>
        </r>
        <r>
          <rPr>
            <sz val="9"/>
            <color indexed="81"/>
            <rFont val="Tahoma"/>
            <family val="2"/>
          </rPr>
          <t xml:space="preserve"> subject*
Weighting: Science electives*, </t>
        </r>
        <r>
          <rPr>
            <b/>
            <sz val="9"/>
            <color indexed="81"/>
            <rFont val="Tahoma"/>
            <family val="2"/>
          </rPr>
          <t>excluding Integrated Science</t>
        </r>
        <r>
          <rPr>
            <sz val="9"/>
            <color indexed="81"/>
            <rFont val="Tahoma"/>
            <family val="2"/>
          </rPr>
          <t xml:space="preserve">
</t>
        </r>
      </text>
    </comment>
    <comment ref="T15" authorId="0" shapeId="0" xr:uid="{63CA04AD-7315-499B-A4AD-3E1C0FF1380A}">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V15" authorId="1" shapeId="0" xr:uid="{F77A9875-45A0-4FF1-9734-86F5DF1026EA}">
      <text>
        <r>
          <rPr>
            <sz val="9"/>
            <color indexed="81"/>
            <rFont val="Tahoma"/>
            <family val="2"/>
          </rPr>
          <t>Penalty will be imposed on</t>
        </r>
        <r>
          <rPr>
            <b/>
            <sz val="9"/>
            <color indexed="81"/>
            <rFont val="Tahoma"/>
            <family val="2"/>
          </rPr>
          <t xml:space="preserve"> subjects which were retaken</t>
        </r>
        <r>
          <rPr>
            <sz val="9"/>
            <color indexed="81"/>
            <rFont val="Tahoma"/>
            <family val="2"/>
          </rPr>
          <t xml:space="preserve">
</t>
        </r>
      </text>
    </comment>
    <comment ref="E16" authorId="0" shapeId="0" xr:uid="{E030DECF-5A26-40F4-82CE-A35E1606C401}">
      <text>
        <r>
          <rPr>
            <sz val="9"/>
            <color indexed="81"/>
            <rFont val="Tahoma"/>
            <family val="2"/>
          </rPr>
          <t>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sz val="9"/>
            <color indexed="81"/>
            <rFont val="Tahoma"/>
            <family val="2"/>
          </rPr>
          <t xml:space="preserve">: English Language
</t>
        </r>
        <r>
          <rPr>
            <b/>
            <sz val="9"/>
            <color indexed="81"/>
            <rFont val="細明體"/>
            <family val="3"/>
            <charset val="136"/>
          </rPr>
          <t>較高比重</t>
        </r>
        <r>
          <rPr>
            <sz val="9"/>
            <color indexed="81"/>
            <rFont val="Tahoma"/>
            <family val="2"/>
          </rPr>
          <t xml:space="preserve">: Liberal Studies
</t>
        </r>
      </text>
    </comment>
    <comment ref="N16" authorId="0" shapeId="0" xr:uid="{E8EA292F-29FF-452D-B3DA-3EECF03AFE71}">
      <text>
        <r>
          <rPr>
            <sz val="9"/>
            <color indexed="81"/>
            <rFont val="Tahoma"/>
            <family val="2"/>
          </rPr>
          <t xml:space="preserve">Candidates are strongly advised to include their </t>
        </r>
        <r>
          <rPr>
            <b/>
            <sz val="9"/>
            <color indexed="81"/>
            <rFont val="Tahoma"/>
            <family val="2"/>
          </rPr>
          <t>personal statement in English</t>
        </r>
        <r>
          <rPr>
            <sz val="9"/>
            <color indexed="81"/>
            <rFont val="Tahoma"/>
            <family val="2"/>
          </rPr>
          <t xml:space="preserve"> in the "Additional Information" of their JUPAS application. Candidates are encouraged to enter details about their other learning experiences or extra curricular activities.
</t>
        </r>
        <r>
          <rPr>
            <b/>
            <sz val="9"/>
            <color indexed="81"/>
            <rFont val="Tahoma"/>
            <family val="2"/>
          </rPr>
          <t>Supporting documents</t>
        </r>
        <r>
          <rPr>
            <sz val="9"/>
            <color indexed="81"/>
            <rFont val="Tahoma"/>
            <family val="2"/>
          </rPr>
          <t xml:space="preserve"> should be uploaded to
the appropriate sections of </t>
        </r>
        <r>
          <rPr>
            <b/>
            <sz val="9"/>
            <color indexed="81"/>
            <rFont val="Tahoma"/>
            <family val="2"/>
          </rPr>
          <t>OEA or SLP.</t>
        </r>
      </text>
    </comment>
    <comment ref="E17" authorId="0" shapeId="0" xr:uid="{1A29E96B-5B70-4B52-BFDD-76FD12C9F50A}">
      <text>
        <r>
          <rPr>
            <sz val="9"/>
            <color indexed="81"/>
            <rFont val="Tahoma"/>
            <family val="2"/>
          </rPr>
          <t xml:space="preserve">The best 5 subjects must include </t>
        </r>
        <r>
          <rPr>
            <b/>
            <sz val="9"/>
            <color indexed="81"/>
            <rFont val="Tahoma"/>
            <family val="2"/>
          </rPr>
          <t>Chinese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Tahoma"/>
            <family val="2"/>
          </rPr>
          <t xml:space="preserve">Chinese Language
</t>
        </r>
        <r>
          <rPr>
            <b/>
            <sz val="9"/>
            <color indexed="81"/>
            <rFont val="細明體"/>
            <family val="3"/>
            <charset val="136"/>
          </rPr>
          <t>較高比重</t>
        </r>
        <r>
          <rPr>
            <b/>
            <sz val="9"/>
            <color indexed="81"/>
            <rFont val="Tahoma"/>
            <family val="2"/>
          </rPr>
          <t>:</t>
        </r>
        <r>
          <rPr>
            <sz val="9"/>
            <color indexed="81"/>
            <rFont val="Tahoma"/>
            <family val="2"/>
          </rPr>
          <t xml:space="preserve"> Liberal Studies
</t>
        </r>
      </text>
    </comment>
    <comment ref="N17" authorId="0" shapeId="0" xr:uid="{17566D1C-7A8E-41C3-BEBE-E8F8E319EF99}">
      <text>
        <r>
          <rPr>
            <sz val="9"/>
            <color indexed="81"/>
            <rFont val="Tahoma"/>
            <family val="2"/>
          </rPr>
          <t xml:space="preserve">Candidates should have knowledge of </t>
        </r>
        <r>
          <rPr>
            <b/>
            <sz val="9"/>
            <color indexed="81"/>
            <rFont val="Tahoma"/>
            <family val="2"/>
          </rPr>
          <t>spoken Cantonese</t>
        </r>
        <r>
          <rPr>
            <sz val="9"/>
            <color indexed="81"/>
            <rFont val="Tahoma"/>
            <family val="2"/>
          </rPr>
          <t xml:space="preserve"> and </t>
        </r>
        <r>
          <rPr>
            <b/>
            <sz val="9"/>
            <color indexed="81"/>
            <rFont val="Tahoma"/>
            <family val="2"/>
          </rPr>
          <t>traditional Chinese characters.</t>
        </r>
      </text>
    </comment>
    <comment ref="E18" authorId="0" shapeId="0" xr:uid="{6F3AAAD7-4A38-438B-AF1C-7B1664ABFC0E}">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and </t>
        </r>
        <r>
          <rPr>
            <b/>
            <sz val="9"/>
            <color indexed="81"/>
            <rFont val="Tahoma"/>
            <family val="2"/>
          </rPr>
          <t>Chinese Language</t>
        </r>
        <r>
          <rPr>
            <sz val="9"/>
            <color indexed="81"/>
            <rFont val="Tahoma"/>
            <family val="2"/>
          </rPr>
          <t xml:space="preserve">.
</t>
        </r>
        <r>
          <rPr>
            <sz val="9"/>
            <color indexed="81"/>
            <rFont val="細明體"/>
            <family val="3"/>
            <charset val="136"/>
          </rPr>
          <t>最高比重</t>
        </r>
        <r>
          <rPr>
            <sz val="9"/>
            <color indexed="81"/>
            <rFont val="Tahoma"/>
            <family val="2"/>
          </rPr>
          <t xml:space="preserve">: </t>
        </r>
        <r>
          <rPr>
            <b/>
            <sz val="9"/>
            <color indexed="81"/>
            <rFont val="Tahoma"/>
            <family val="2"/>
          </rPr>
          <t>English Language</t>
        </r>
        <r>
          <rPr>
            <sz val="9"/>
            <color indexed="81"/>
            <rFont val="Tahoma"/>
            <family val="2"/>
          </rPr>
          <t xml:space="preserve">
</t>
        </r>
        <r>
          <rPr>
            <sz val="9"/>
            <color indexed="81"/>
            <rFont val="細明體"/>
            <family val="3"/>
            <charset val="136"/>
          </rPr>
          <t>較高比重</t>
        </r>
        <r>
          <rPr>
            <sz val="9"/>
            <color indexed="81"/>
            <rFont val="Tahoma"/>
            <family val="2"/>
          </rPr>
          <t xml:space="preserve">: </t>
        </r>
        <r>
          <rPr>
            <b/>
            <sz val="9"/>
            <color indexed="81"/>
            <rFont val="Tahoma"/>
            <family val="2"/>
          </rPr>
          <t>Chinese Language</t>
        </r>
        <r>
          <rPr>
            <sz val="9"/>
            <color indexed="81"/>
            <rFont val="Tahoma"/>
            <family val="2"/>
          </rPr>
          <t xml:space="preserve">
</t>
        </r>
      </text>
    </comment>
    <comment ref="N18" authorId="0" shapeId="0" xr:uid="{09FD78AF-F268-4C4A-8CF4-0757ED359C9C}">
      <text>
        <r>
          <rPr>
            <sz val="9"/>
            <color indexed="81"/>
            <rFont val="Tahoma"/>
            <family val="2"/>
          </rPr>
          <t>Candidates must be able to communicate effectively and fluently in</t>
        </r>
        <r>
          <rPr>
            <b/>
            <sz val="9"/>
            <color indexed="81"/>
            <rFont val="Tahoma"/>
            <family val="2"/>
          </rPr>
          <t xml:space="preserve"> both</t>
        </r>
        <r>
          <rPr>
            <sz val="9"/>
            <color indexed="81"/>
            <rFont val="Tahoma"/>
            <family val="2"/>
          </rPr>
          <t xml:space="preserve"> </t>
        </r>
        <r>
          <rPr>
            <b/>
            <sz val="9"/>
            <color indexed="81"/>
            <rFont val="Tahoma"/>
            <family val="2"/>
          </rPr>
          <t>Cantonese and English.</t>
        </r>
        <r>
          <rPr>
            <sz val="9"/>
            <color indexed="81"/>
            <rFont val="Tahoma"/>
            <family val="2"/>
          </rPr>
          <t xml:space="preserve">
</t>
        </r>
      </text>
    </comment>
    <comment ref="E19" authorId="0" shapeId="0" xr:uid="{A8EAC43C-1526-40DC-B0F9-9C800528483D}">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t>
        </r>
        <r>
          <rPr>
            <b/>
            <sz val="9"/>
            <color indexed="81"/>
            <rFont val="Tahoma"/>
            <family val="2"/>
          </rPr>
          <t>Mathematics</t>
        </r>
        <r>
          <rPr>
            <sz val="9"/>
            <color indexed="81"/>
            <rFont val="Tahoma"/>
            <family val="2"/>
          </rPr>
          <t xml:space="preserve"> and
the </t>
        </r>
        <r>
          <rPr>
            <b/>
            <sz val="9"/>
            <color indexed="81"/>
            <rFont val="Tahoma"/>
            <family val="2"/>
          </rPr>
          <t>best Science elective subject</t>
        </r>
        <r>
          <rPr>
            <sz val="9"/>
            <color indexed="81"/>
            <rFont val="Tahoma"/>
            <family val="2"/>
          </rPr>
          <t xml:space="preserve">*
M1/M2 can be included.
</t>
        </r>
        <r>
          <rPr>
            <b/>
            <sz val="9"/>
            <color indexed="81"/>
            <rFont val="細明體"/>
            <family val="3"/>
            <charset val="136"/>
          </rPr>
          <t>最高比重</t>
        </r>
        <r>
          <rPr>
            <b/>
            <sz val="9"/>
            <color indexed="81"/>
            <rFont val="Tahoma"/>
            <family val="2"/>
          </rPr>
          <t>:</t>
        </r>
        <r>
          <rPr>
            <sz val="9"/>
            <color indexed="81"/>
            <rFont val="Tahoma"/>
            <family val="2"/>
          </rPr>
          <t xml:space="preserve"> 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t>
        </r>
      </text>
    </comment>
    <comment ref="T19" authorId="0" shapeId="0" xr:uid="{ABAB8AC8-8224-4713-9AD8-CAC7D26DB912}">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N20" authorId="0" shapeId="0" xr:uid="{1F2F32E1-231A-487A-A2AC-B851C2F36CE4}">
      <text>
        <r>
          <rPr>
            <sz val="9"/>
            <color indexed="81"/>
            <rFont val="Tahoma"/>
            <family val="2"/>
          </rPr>
          <t xml:space="preserve">Candidates must be able to communicate effectively and fluently in both </t>
        </r>
        <r>
          <rPr>
            <b/>
            <sz val="9"/>
            <color indexed="81"/>
            <rFont val="Tahoma"/>
            <family val="2"/>
          </rPr>
          <t>Cantonese and English.</t>
        </r>
        <r>
          <rPr>
            <sz val="9"/>
            <color indexed="81"/>
            <rFont val="Tahoma"/>
            <family val="2"/>
          </rPr>
          <t xml:space="preserve">
Candidates are strongly advised to include their </t>
        </r>
        <r>
          <rPr>
            <b/>
            <sz val="9"/>
            <color indexed="81"/>
            <rFont val="Tahoma"/>
            <family val="2"/>
          </rPr>
          <t>personal statement in English</t>
        </r>
        <r>
          <rPr>
            <sz val="9"/>
            <color indexed="81"/>
            <rFont val="Tahoma"/>
            <family val="2"/>
          </rPr>
          <t xml:space="preserve"> in the "Additional Information" of their JUPAS application. Candidates are encouraged to enter details about their other learning experiences or extra curricular activities.
</t>
        </r>
        <r>
          <rPr>
            <b/>
            <sz val="9"/>
            <color indexed="81"/>
            <rFont val="Tahoma"/>
            <family val="2"/>
          </rPr>
          <t xml:space="preserve">Supporting documents </t>
        </r>
        <r>
          <rPr>
            <sz val="9"/>
            <color indexed="81"/>
            <rFont val="Tahoma"/>
            <family val="2"/>
          </rPr>
          <t>should be uploaded to the appropriate sections of OEA or SLP.</t>
        </r>
      </text>
    </comment>
    <comment ref="T20" authorId="0" shapeId="0" xr:uid="{170EB754-CFF9-4DC4-86A2-EB055194FC27}">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E21" authorId="0" shapeId="0" xr:uid="{E9BC5E6F-C24E-4B51-A369-611C306B93CF}">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E22" authorId="0" shapeId="0" xr:uid="{82D8B097-4CAF-4C27-ADC8-E1202FA17D0F}">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t>
        </r>
        <r>
          <rPr>
            <b/>
            <sz val="9"/>
            <color indexed="81"/>
            <rFont val="Tahoma"/>
            <family val="2"/>
          </rPr>
          <t xml:space="preserve">
</t>
        </r>
        <r>
          <rPr>
            <sz val="9"/>
            <color indexed="81"/>
            <rFont val="Tahoma"/>
            <family val="2"/>
          </rPr>
          <t xml:space="preserve">
The best 5 subjects must include </t>
        </r>
        <r>
          <rPr>
            <b/>
            <sz val="9"/>
            <color indexed="81"/>
            <rFont val="Tahoma"/>
            <family val="2"/>
          </rPr>
          <t xml:space="preserve">English Language and Mathematics.
</t>
        </r>
      </text>
    </comment>
    <comment ref="T22" authorId="0" shapeId="0" xr:uid="{06D424EC-12B6-47ED-B357-BB33603B9D5C}">
      <text>
        <r>
          <rPr>
            <b/>
            <sz val="9"/>
            <color indexed="81"/>
            <rFont val="Tahoma"/>
            <family val="2"/>
          </rPr>
          <t>One of the following at Level 3 or above:</t>
        </r>
        <r>
          <rPr>
            <sz val="9"/>
            <color indexed="81"/>
            <rFont val="Tahoma"/>
            <family val="2"/>
          </rPr>
          <t xml:space="preserve">
- Physics
- Combined Science (With Physics)
</t>
        </r>
      </text>
    </comment>
    <comment ref="U22" authorId="0" shapeId="0" xr:uid="{057B201A-0C9A-4BD6-A30F-AA127AFC5EC9}">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E23" authorId="0" shapeId="0" xr:uid="{F1766E21-2D2E-4C07-ABE4-CD65F1D55F4C}">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 xml:space="preserve">English Language </t>
        </r>
        <r>
          <rPr>
            <sz val="9"/>
            <color indexed="81"/>
            <rFont val="Tahoma"/>
            <family val="2"/>
          </rPr>
          <t>and</t>
        </r>
        <r>
          <rPr>
            <b/>
            <sz val="9"/>
            <color indexed="81"/>
            <rFont val="Tahoma"/>
            <family val="2"/>
          </rPr>
          <t xml:space="preserve"> Mathematics</t>
        </r>
        <r>
          <rPr>
            <sz val="9"/>
            <color indexed="81"/>
            <rFont val="Tahoma"/>
            <family val="2"/>
          </rPr>
          <t xml:space="preserve">.
</t>
        </r>
      </text>
    </comment>
    <comment ref="N23" authorId="0" shapeId="0" xr:uid="{D0B82BBC-1B46-4748-BC41-AC952E879562}">
      <text>
        <r>
          <rPr>
            <b/>
            <sz val="9"/>
            <color indexed="81"/>
            <rFont val="Tahoma"/>
            <family val="2"/>
          </rPr>
          <t>2020</t>
        </r>
        <r>
          <rPr>
            <b/>
            <sz val="9"/>
            <color indexed="81"/>
            <rFont val="細明體"/>
            <family val="3"/>
            <charset val="136"/>
          </rPr>
          <t>年新科目</t>
        </r>
        <r>
          <rPr>
            <sz val="9"/>
            <color indexed="81"/>
            <rFont val="Tahoma"/>
            <family val="2"/>
          </rPr>
          <t xml:space="preserve">
</t>
        </r>
      </text>
    </comment>
    <comment ref="T23" authorId="0" shapeId="0" xr:uid="{B42E89C9-DE57-4B40-A3D1-A5663F4E5FFA}">
      <text>
        <r>
          <rPr>
            <b/>
            <sz val="9"/>
            <color indexed="81"/>
            <rFont val="Tahoma"/>
            <family val="2"/>
          </rPr>
          <t>One of the following at Level 3 or above:</t>
        </r>
        <r>
          <rPr>
            <sz val="9"/>
            <color indexed="81"/>
            <rFont val="Tahoma"/>
            <family val="2"/>
          </rPr>
          <t xml:space="preserve">
- Physics
- Combined Science (With Physics)
</t>
        </r>
      </text>
    </comment>
    <comment ref="U23" authorId="0" shapeId="0" xr:uid="{B62EEB5A-749C-483B-9A8A-1C86BCC90556}">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E24" authorId="0" shapeId="0" xr:uid="{5D6047C4-E253-43CD-8222-7AAAB5DDF0CF}">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Mathematics.</t>
        </r>
        <r>
          <rPr>
            <sz val="9"/>
            <color indexed="81"/>
            <rFont val="Tahoma"/>
            <family val="2"/>
          </rPr>
          <t xml:space="preserve">
</t>
        </r>
      </text>
    </comment>
    <comment ref="T24" authorId="0" shapeId="0" xr:uid="{87BC8540-C857-4F18-92D2-658756F7B68E}">
      <text>
        <r>
          <rPr>
            <b/>
            <sz val="9"/>
            <color indexed="81"/>
            <rFont val="Tahoma"/>
            <family val="2"/>
          </rPr>
          <t>One of the following at Level 3 or above:</t>
        </r>
        <r>
          <rPr>
            <sz val="9"/>
            <color indexed="81"/>
            <rFont val="Tahoma"/>
            <family val="2"/>
          </rPr>
          <t xml:space="preserve">
- Physics
- Combined Science (With Physics)
</t>
        </r>
      </text>
    </comment>
    <comment ref="U24" authorId="0" shapeId="0" xr:uid="{EBF80E08-157C-4A34-B4E4-A03D43A10326}">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E25" authorId="0" shapeId="0" xr:uid="{21968BF1-FB88-4A8C-B360-8B083FEEE45E}">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English Language</t>
        </r>
        <r>
          <rPr>
            <sz val="9"/>
            <color indexed="81"/>
            <rFont val="Tahoma"/>
            <family val="2"/>
          </rPr>
          <t xml:space="preserve"> and </t>
        </r>
        <r>
          <rPr>
            <b/>
            <sz val="9"/>
            <color indexed="81"/>
            <rFont val="Tahoma"/>
            <family val="2"/>
          </rPr>
          <t>Mathematics</t>
        </r>
        <r>
          <rPr>
            <sz val="9"/>
            <color indexed="81"/>
            <rFont val="Tahoma"/>
            <family val="2"/>
          </rPr>
          <t>.</t>
        </r>
      </text>
    </comment>
    <comment ref="T25" authorId="0" shapeId="0" xr:uid="{A3402723-B294-47B4-B6B0-2BCE641FB401}">
      <text>
        <r>
          <rPr>
            <b/>
            <sz val="9"/>
            <color indexed="81"/>
            <rFont val="Tahoma"/>
            <family val="2"/>
          </rPr>
          <t>One of the following at Level 3 or above:</t>
        </r>
        <r>
          <rPr>
            <sz val="9"/>
            <color indexed="81"/>
            <rFont val="Tahoma"/>
            <family val="2"/>
          </rPr>
          <t xml:space="preserve">
- Physics
- Combined Science (With Physics)
</t>
        </r>
      </text>
    </comment>
    <comment ref="U25" authorId="0" shapeId="0" xr:uid="{2438D204-DF9B-4ED0-8B24-1A5801635F03}">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E26" authorId="0" shapeId="0" xr:uid="{8866D3C5-C38B-4350-A891-438451070C10}">
      <text>
        <r>
          <rPr>
            <sz val="9"/>
            <color indexed="81"/>
            <rFont val="Tahoma"/>
            <family val="2"/>
          </rPr>
          <t xml:space="preserve">The best 6 subjects must include </t>
        </r>
        <r>
          <rPr>
            <b/>
            <sz val="9"/>
            <color indexed="81"/>
            <rFont val="Tahoma"/>
            <family val="2"/>
          </rPr>
          <t>English Language</t>
        </r>
        <r>
          <rPr>
            <sz val="9"/>
            <color indexed="81"/>
            <rFont val="Tahoma"/>
            <family val="2"/>
          </rPr>
          <t xml:space="preserve">
</t>
        </r>
      </text>
    </comment>
    <comment ref="E27" authorId="0" shapeId="0" xr:uid="{7FC2C08B-15CE-419A-B1B1-8CD6A9D063FC}">
      <text>
        <r>
          <rPr>
            <sz val="9"/>
            <color indexed="81"/>
            <rFont val="Tahoma"/>
            <family val="2"/>
          </rPr>
          <t xml:space="preserve">The best 6 subjects must include </t>
        </r>
        <r>
          <rPr>
            <b/>
            <sz val="9"/>
            <color indexed="81"/>
            <rFont val="Tahoma"/>
            <family val="2"/>
          </rPr>
          <t>English Language</t>
        </r>
      </text>
    </comment>
    <comment ref="E28" authorId="0" shapeId="0" xr:uid="{E40B14F7-7499-45CA-8047-DBE301E9B0F5}">
      <text>
        <r>
          <rPr>
            <sz val="9"/>
            <color indexed="81"/>
            <rFont val="Tahoma"/>
            <family val="2"/>
          </rPr>
          <t xml:space="preserve">The score of </t>
        </r>
        <r>
          <rPr>
            <b/>
            <sz val="9"/>
            <color indexed="81"/>
            <rFont val="Tahoma"/>
            <family val="2"/>
          </rPr>
          <t xml:space="preserve">Mathematics compulsory </t>
        </r>
        <r>
          <rPr>
            <sz val="9"/>
            <color indexed="81"/>
            <rFont val="Tahoma"/>
            <family val="2"/>
          </rPr>
          <t xml:space="preserve">part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[MA+(M1/M2*0.5)]/1.5</t>
        </r>
      </text>
    </comment>
    <comment ref="I28" authorId="0" shapeId="0" xr:uid="{7C1C2BA1-3EE6-4C8B-8E73-F79B932FE419}">
      <text>
        <r>
          <rPr>
            <sz val="9"/>
            <color indexed="81"/>
            <rFont val="細明體"/>
            <family val="3"/>
            <charset val="136"/>
          </rPr>
          <t>此科目2019年未有以加分制計算成績</t>
        </r>
        <r>
          <rPr>
            <sz val="9"/>
            <color indexed="81"/>
            <rFont val="Tahoma"/>
            <family val="2"/>
          </rPr>
          <t xml:space="preserve">
</t>
        </r>
      </text>
    </comment>
    <comment ref="N28" authorId="1" shapeId="0" xr:uid="{CE990666-DBE0-4E93-A9D8-0C856EE80860}">
      <text>
        <r>
          <rPr>
            <sz val="9"/>
            <color indexed="81"/>
            <rFont val="Tahoma"/>
            <family val="2"/>
          </rPr>
          <t xml:space="preserve">A good working knowledge of Cantonese is required.
</t>
        </r>
      </text>
    </comment>
    <comment ref="T28" authorId="1" shapeId="0" xr:uid="{3A350F0E-5A01-4F37-9C56-18DE15D36D03}">
      <text>
        <r>
          <rPr>
            <b/>
            <sz val="9"/>
            <color indexed="81"/>
            <rFont val="Tahoma"/>
            <family val="2"/>
          </rPr>
          <t xml:space="preserve">One of the following at Level 3 or above: 
- </t>
        </r>
        <r>
          <rPr>
            <sz val="9"/>
            <color indexed="81"/>
            <rFont val="Tahoma"/>
            <family val="2"/>
          </rPr>
          <t>Chemistry
- Combined Science (With Chemistry)</t>
        </r>
      </text>
    </comment>
    <comment ref="V28" authorId="1" shapeId="0" xr:uid="{8817758F-8664-4746-B5BF-556A7EF22C09}">
      <text>
        <r>
          <rPr>
            <sz val="9"/>
            <color indexed="81"/>
            <rFont val="Tahoma"/>
            <family val="2"/>
          </rPr>
          <t>Penalty will be imposed on</t>
        </r>
        <r>
          <rPr>
            <b/>
            <sz val="9"/>
            <color indexed="81"/>
            <rFont val="Tahoma"/>
            <family val="2"/>
          </rPr>
          <t xml:space="preserve"> subjects which were retaken</t>
        </r>
        <r>
          <rPr>
            <sz val="9"/>
            <color indexed="81"/>
            <rFont val="Tahoma"/>
            <family val="2"/>
          </rPr>
          <t xml:space="preserve">
</t>
        </r>
      </text>
    </comment>
    <comment ref="E29" authorId="0" shapeId="0" xr:uid="{057CB1F1-DE9E-4265-8AFB-816D37BF82E1}">
      <text>
        <r>
          <rPr>
            <sz val="9"/>
            <color indexed="81"/>
            <rFont val="Tahoma"/>
            <family val="2"/>
          </rPr>
          <t xml:space="preserve">Consideration of both Category A and C subjects, </t>
        </r>
        <r>
          <rPr>
            <b/>
            <sz val="9"/>
            <color indexed="81"/>
            <rFont val="Tahoma"/>
            <family val="2"/>
          </rPr>
          <t xml:space="preserve">excluding M1/M2.
</t>
        </r>
      </text>
    </comment>
    <comment ref="N29" authorId="1" shapeId="0" xr:uid="{484B5F1C-CF11-4FA1-B7E4-D9AA01287F95}">
      <text>
        <r>
          <rPr>
            <sz val="9"/>
            <color indexed="81"/>
            <rFont val="Tahoma"/>
            <family val="2"/>
          </rPr>
          <t xml:space="preserve">A good working knowledge of Cantonese is required.
</t>
        </r>
      </text>
    </comment>
    <comment ref="E30" authorId="0" shapeId="0" xr:uid="{20A1991C-7791-489B-8B1F-A6344DCA99B5}">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N30" authorId="1" shapeId="0" xr:uid="{267EEF08-629A-47A4-822A-DD38D25283A2}">
      <text>
        <r>
          <rPr>
            <sz val="9"/>
            <color indexed="81"/>
            <rFont val="Tahoma"/>
            <family val="2"/>
          </rPr>
          <t>A good command of written and spoken Chinese (</t>
        </r>
        <r>
          <rPr>
            <b/>
            <sz val="9"/>
            <color indexed="81"/>
            <rFont val="Tahoma"/>
            <family val="2"/>
          </rPr>
          <t>Cantonese and Putonghua</t>
        </r>
        <r>
          <rPr>
            <sz val="9"/>
            <color indexed="81"/>
            <rFont val="Tahoma"/>
            <family val="2"/>
          </rPr>
          <t xml:space="preserve">) is required.
</t>
        </r>
      </text>
    </comment>
    <comment ref="T30" authorId="0" shapeId="0" xr:uid="{481A1E18-0DAC-440B-826F-ADA62C8019FC}">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E31" authorId="0" shapeId="0" xr:uid="{30FC3E60-7870-4D1D-AA8A-7F38541A66FD}">
      <text>
        <r>
          <rPr>
            <sz val="9"/>
            <color indexed="81"/>
            <rFont val="Tahoma"/>
            <family val="2"/>
          </rPr>
          <t xml:space="preserve">The score of </t>
        </r>
        <r>
          <rPr>
            <b/>
            <sz val="9"/>
            <color indexed="81"/>
            <rFont val="Tahoma"/>
            <family val="2"/>
          </rPr>
          <t>Mathematics compulsory part</t>
        </r>
        <r>
          <rPr>
            <sz val="9"/>
            <color indexed="81"/>
            <rFont val="Tahoma"/>
            <family val="2"/>
          </rPr>
          <t xml:space="preserve">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 xml:space="preserve">
[MA+(M1/M2*0.5)]/1.5</t>
        </r>
        <r>
          <rPr>
            <sz val="9"/>
            <color indexed="81"/>
            <rFont val="Tahoma"/>
            <family val="2"/>
          </rPr>
          <t xml:space="preserve">
</t>
        </r>
      </text>
    </comment>
    <comment ref="I31" authorId="0" shapeId="0" xr:uid="{1C12900D-90F1-47DF-83C1-803EB10CEA82}">
      <text>
        <r>
          <rPr>
            <sz val="9"/>
            <color indexed="81"/>
            <rFont val="細明體"/>
            <family val="3"/>
            <charset val="136"/>
          </rPr>
          <t>此科目</t>
        </r>
        <r>
          <rPr>
            <sz val="9"/>
            <color indexed="81"/>
            <rFont val="Tahoma"/>
            <family val="2"/>
          </rPr>
          <t>2019</t>
        </r>
        <r>
          <rPr>
            <sz val="9"/>
            <color indexed="81"/>
            <rFont val="細明體"/>
            <family val="3"/>
            <charset val="136"/>
          </rPr>
          <t>年未有以加分制計算成績</t>
        </r>
        <r>
          <rPr>
            <b/>
            <sz val="9"/>
            <color indexed="81"/>
            <rFont val="細明體"/>
            <family val="3"/>
            <charset val="136"/>
          </rPr>
          <t xml:space="preserve">
</t>
        </r>
        <r>
          <rPr>
            <sz val="9"/>
            <color indexed="81"/>
            <rFont val="Tahoma"/>
            <family val="2"/>
          </rPr>
          <t xml:space="preserve">
</t>
        </r>
      </text>
    </comment>
    <comment ref="N31" authorId="1" shapeId="0" xr:uid="{3F9CDCCA-799C-4C0F-A4BA-80F32937251E}">
      <text>
        <r>
          <rPr>
            <sz val="9"/>
            <color indexed="81"/>
            <rFont val="Tahoma"/>
            <family val="2"/>
          </rPr>
          <t xml:space="preserve">A good working knowledge of Cantonese is required.
</t>
        </r>
      </text>
    </comment>
    <comment ref="T31" authorId="1" shapeId="0" xr:uid="{87F549CE-0139-401F-9580-F241C12EA507}">
      <text>
        <r>
          <rPr>
            <b/>
            <sz val="9"/>
            <color indexed="81"/>
            <rFont val="Tahoma"/>
            <family val="2"/>
          </rPr>
          <t xml:space="preserve">One of the following at Level 3 or above: 
- </t>
        </r>
        <r>
          <rPr>
            <sz val="9"/>
            <color indexed="81"/>
            <rFont val="Tahoma"/>
            <family val="2"/>
          </rPr>
          <t>Chemistry
- Combined Science (With Chemistry)</t>
        </r>
      </text>
    </comment>
    <comment ref="V31" authorId="1" shapeId="0" xr:uid="{B863401D-80DB-4BD4-AB18-B3277A9AE091}">
      <text>
        <r>
          <rPr>
            <sz val="9"/>
            <color indexed="81"/>
            <rFont val="Tahoma"/>
            <family val="2"/>
          </rPr>
          <t xml:space="preserve">Penalty will be imposed on </t>
        </r>
        <r>
          <rPr>
            <b/>
            <sz val="9"/>
            <color indexed="81"/>
            <rFont val="Tahoma"/>
            <family val="2"/>
          </rPr>
          <t>subjects which were retaken</t>
        </r>
        <r>
          <rPr>
            <sz val="9"/>
            <color indexed="81"/>
            <rFont val="Tahoma"/>
            <family val="2"/>
          </rPr>
          <t xml:space="preserve">
</t>
        </r>
      </text>
    </comment>
    <comment ref="E32" authorId="0" shapeId="0" xr:uid="{423E74E0-65BD-449A-9484-A5B4F317312F}">
      <text>
        <r>
          <rPr>
            <sz val="9"/>
            <color indexed="81"/>
            <rFont val="Tahoma"/>
            <family val="2"/>
          </rPr>
          <t xml:space="preserve">The score of </t>
        </r>
        <r>
          <rPr>
            <b/>
            <sz val="9"/>
            <color indexed="81"/>
            <rFont val="Tahoma"/>
            <family val="2"/>
          </rPr>
          <t xml:space="preserve">Mathematics compulsory part </t>
        </r>
        <r>
          <rPr>
            <sz val="9"/>
            <color indexed="81"/>
            <rFont val="Tahoma"/>
            <family val="2"/>
          </rPr>
          <t>(MA) or the</t>
        </r>
        <r>
          <rPr>
            <b/>
            <sz val="9"/>
            <color indexed="81"/>
            <rFont val="Tahoma"/>
            <family val="2"/>
          </rPr>
          <t xml:space="preserve"> combined score of
MA and M1/M2</t>
        </r>
        <r>
          <rPr>
            <sz val="9"/>
            <color indexed="81"/>
            <rFont val="Tahoma"/>
            <family val="2"/>
          </rPr>
          <t xml:space="preserve"> calculated as below, whichever is higher, will be taken into
consideration.
</t>
        </r>
        <r>
          <rPr>
            <b/>
            <sz val="9"/>
            <color indexed="81"/>
            <rFont val="Tahoma"/>
            <family val="2"/>
          </rPr>
          <t>[MA+(M1/M2*0.5)]/1.5</t>
        </r>
        <r>
          <rPr>
            <sz val="9"/>
            <color indexed="81"/>
            <rFont val="Tahoma"/>
            <family val="2"/>
          </rPr>
          <t xml:space="preserve">
</t>
        </r>
      </text>
    </comment>
    <comment ref="I32" authorId="0" shapeId="0" xr:uid="{1BA6C708-D693-489E-AE33-CAC56342EB00}">
      <text>
        <r>
          <rPr>
            <sz val="9"/>
            <color indexed="81"/>
            <rFont val="細明體"/>
            <family val="3"/>
            <charset val="136"/>
          </rPr>
          <t>此科目</t>
        </r>
        <r>
          <rPr>
            <sz val="9"/>
            <color indexed="81"/>
            <rFont val="Tahoma"/>
            <family val="2"/>
          </rPr>
          <t>2019</t>
        </r>
        <r>
          <rPr>
            <sz val="9"/>
            <color indexed="81"/>
            <rFont val="細明體"/>
            <family val="3"/>
            <charset val="136"/>
          </rPr>
          <t xml:space="preserve">年未有以加分制計算成績
</t>
        </r>
      </text>
    </comment>
    <comment ref="N32" authorId="1" shapeId="0" xr:uid="{D8988803-E3EE-41E9-BA90-98024964269D}">
      <text>
        <r>
          <rPr>
            <sz val="9"/>
            <color indexed="81"/>
            <rFont val="Tahoma"/>
            <family val="2"/>
          </rPr>
          <t xml:space="preserve">A good working knowledge of Cantonese is required.
</t>
        </r>
      </text>
    </comment>
    <comment ref="T32" authorId="1" shapeId="0" xr:uid="{06DE17F3-61A0-4D54-B070-4E4C69213116}">
      <text>
        <r>
          <rPr>
            <b/>
            <sz val="9"/>
            <color indexed="81"/>
            <rFont val="Tahoma"/>
            <family val="2"/>
          </rPr>
          <t xml:space="preserve">One of the following at Level 3 or above: </t>
        </r>
        <r>
          <rPr>
            <sz val="9"/>
            <color indexed="81"/>
            <rFont val="Tahoma"/>
            <family val="2"/>
          </rPr>
          <t xml:space="preserve">
- Chemistry
- Biology
- Combined Science</t>
        </r>
      </text>
    </comment>
    <comment ref="V32" authorId="1" shapeId="0" xr:uid="{2C42E3F1-C879-4B6D-80FB-09C00DD67973}">
      <text>
        <r>
          <rPr>
            <sz val="9"/>
            <color indexed="81"/>
            <rFont val="Tahoma"/>
            <family val="2"/>
          </rPr>
          <t xml:space="preserve">Penalty will be imposed on </t>
        </r>
        <r>
          <rPr>
            <b/>
            <sz val="9"/>
            <color indexed="81"/>
            <rFont val="Tahoma"/>
            <family val="2"/>
          </rPr>
          <t>subjects which were retaken</t>
        </r>
        <r>
          <rPr>
            <sz val="9"/>
            <color indexed="81"/>
            <rFont val="Tahoma"/>
            <family val="2"/>
          </rPr>
          <t xml:space="preserve">
</t>
        </r>
      </text>
    </comment>
    <comment ref="E33" authorId="0" shapeId="0" xr:uid="{D9A31BEF-3BA7-4E84-B7A0-C81ED1458307}">
      <text>
        <r>
          <rPr>
            <sz val="9"/>
            <color indexed="81"/>
            <rFont val="Tahoma"/>
            <family val="2"/>
          </rPr>
          <t xml:space="preserve">The best 6 subjects must include </t>
        </r>
        <r>
          <rPr>
            <b/>
            <sz val="9"/>
            <color indexed="81"/>
            <rFont val="Tahoma"/>
            <family val="2"/>
          </rPr>
          <t xml:space="preserve">English Language, Mathematics, M1/M2.
</t>
        </r>
        <r>
          <rPr>
            <sz val="9"/>
            <color indexed="81"/>
            <rFont val="Tahoma"/>
            <family val="2"/>
          </rPr>
          <t xml:space="preserve">
</t>
        </r>
        <r>
          <rPr>
            <b/>
            <sz val="9"/>
            <color indexed="81"/>
            <rFont val="細明體"/>
            <family val="3"/>
            <charset val="136"/>
          </rPr>
          <t>較高比重</t>
        </r>
        <r>
          <rPr>
            <b/>
            <sz val="9"/>
            <color indexed="81"/>
            <rFont val="Tahoma"/>
            <family val="2"/>
          </rPr>
          <t>:</t>
        </r>
        <r>
          <rPr>
            <sz val="9"/>
            <color indexed="81"/>
            <rFont val="Tahoma"/>
            <family val="2"/>
          </rPr>
          <t xml:space="preserve"> English Language, Mathematics, M1/M2
</t>
        </r>
      </text>
    </comment>
    <comment ref="U33" authorId="0" shapeId="0" xr:uid="{2D16CED4-3976-4C14-8844-8866375E69B4}">
      <text>
        <r>
          <rPr>
            <b/>
            <sz val="9"/>
            <color indexed="81"/>
            <rFont val="Tahoma"/>
            <family val="2"/>
          </rPr>
          <t>M1/2 is required.</t>
        </r>
        <r>
          <rPr>
            <sz val="9"/>
            <color indexed="81"/>
            <rFont val="Tahoma"/>
            <family val="2"/>
          </rPr>
          <t xml:space="preserve">
</t>
        </r>
      </text>
    </comment>
    <comment ref="V33" authorId="1" shapeId="0" xr:uid="{B9DD97C9-03DE-44A6-9B00-DE8A92E40418}">
      <text>
        <r>
          <rPr>
            <sz val="9"/>
            <color indexed="81"/>
            <rFont val="Tahoma"/>
            <family val="2"/>
          </rPr>
          <t xml:space="preserve">Penalty for </t>
        </r>
        <r>
          <rPr>
            <b/>
            <sz val="9"/>
            <color indexed="81"/>
            <rFont val="Tahoma"/>
            <family val="2"/>
          </rPr>
          <t>previous sitting(s) (2019 or before)</t>
        </r>
        <r>
          <rPr>
            <sz val="9"/>
            <color indexed="81"/>
            <rFont val="Tahoma"/>
            <family val="2"/>
          </rPr>
          <t xml:space="preserve"> will be imposed on a case-by-case basis
</t>
        </r>
      </text>
    </comment>
    <comment ref="E34" authorId="0" shapeId="0" xr:uid="{3762BE19-E0D5-48B7-8050-F8F88EADE887}">
      <text>
        <r>
          <rPr>
            <sz val="9"/>
            <color indexed="81"/>
            <rFont val="Tahoma"/>
            <family val="2"/>
          </rPr>
          <t xml:space="preserve">The best 5 subjects must include </t>
        </r>
        <r>
          <rPr>
            <b/>
            <sz val="9"/>
            <color indexed="81"/>
            <rFont val="Tahoma"/>
            <family val="2"/>
          </rPr>
          <t>English Language, Mathematics</t>
        </r>
        <r>
          <rPr>
            <sz val="9"/>
            <color indexed="81"/>
            <rFont val="Tahoma"/>
            <family val="2"/>
          </rPr>
          <t xml:space="preserve"> and the
</t>
        </r>
        <r>
          <rPr>
            <b/>
            <sz val="9"/>
            <color indexed="81"/>
            <rFont val="Tahoma"/>
            <family val="2"/>
          </rPr>
          <t>best Science elective</t>
        </r>
        <r>
          <rPr>
            <sz val="9"/>
            <color indexed="81"/>
            <rFont val="Tahoma"/>
            <family val="2"/>
          </rPr>
          <t xml:space="preserve"> subject*.
M1/M2 can be included.
</t>
        </r>
        <r>
          <rPr>
            <b/>
            <sz val="9"/>
            <color indexed="81"/>
            <rFont val="細明體"/>
            <family val="3"/>
            <charset val="136"/>
          </rPr>
          <t>最高比重</t>
        </r>
        <r>
          <rPr>
            <b/>
            <sz val="9"/>
            <color indexed="81"/>
            <rFont val="Tahoma"/>
            <family val="2"/>
          </rPr>
          <t xml:space="preserve">: </t>
        </r>
        <r>
          <rPr>
            <sz val="9"/>
            <color indexed="81"/>
            <rFont val="Tahoma"/>
            <family val="2"/>
          </rPr>
          <t xml:space="preserve">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t>
        </r>
      </text>
    </comment>
    <comment ref="T34" authorId="0" shapeId="0" xr:uid="{3186BCAA-5DD3-4E79-92E5-6B0E00E0579C}">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E35" authorId="0" shapeId="0" xr:uid="{CACB99DA-398A-4222-A9B7-8E4F224D9D5F}">
      <text>
        <r>
          <rPr>
            <sz val="9"/>
            <color indexed="81"/>
            <rFont val="Tahoma"/>
            <family val="2"/>
          </rPr>
          <t xml:space="preserve">Consideration of both Category A and C subjects, </t>
        </r>
        <r>
          <rPr>
            <b/>
            <sz val="9"/>
            <color indexed="81"/>
            <rFont val="Tahoma"/>
            <family val="2"/>
          </rPr>
          <t>excluding M1/M2</t>
        </r>
      </text>
    </comment>
    <comment ref="E36" authorId="0" shapeId="0" xr:uid="{9A8BB644-D67D-4E4E-8916-69934F01B6B8}">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E38" authorId="0" shapeId="0" xr:uid="{79A96E8D-F58A-47A4-8BD5-366EE274DDCB}">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E39" authorId="0" shapeId="0" xr:uid="{F888AE53-615C-47C7-A1DB-CB5EB3B746B9}">
      <text>
        <r>
          <rPr>
            <sz val="9"/>
            <color indexed="81"/>
            <rFont val="Tahoma"/>
            <family val="2"/>
          </rPr>
          <t xml:space="preserve">Consideration of both Category A and C subjects, </t>
        </r>
        <r>
          <rPr>
            <b/>
            <sz val="9"/>
            <color indexed="81"/>
            <rFont val="Tahoma"/>
            <family val="2"/>
          </rPr>
          <t>excluding M1/M2</t>
        </r>
      </text>
    </comment>
    <comment ref="Q39" authorId="1" shapeId="0" xr:uid="{14BE0B35-D0BD-4FE3-A01A-B3D44FD33B44}">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U39" authorId="0" shapeId="0" xr:uid="{6F38A5B7-BE53-4275-8971-D1A6306AA014}">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E40" authorId="0" shapeId="0" xr:uid="{93651DFD-9880-46DC-8A1C-1F6A95C52473}">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t>
        </r>
        <r>
          <rPr>
            <b/>
            <sz val="9"/>
            <color indexed="81"/>
            <rFont val="細明體"/>
            <family val="3"/>
            <charset val="136"/>
          </rPr>
          <t>最高比重</t>
        </r>
        <r>
          <rPr>
            <b/>
            <sz val="9"/>
            <color indexed="81"/>
            <rFont val="Tahoma"/>
            <family val="2"/>
          </rPr>
          <t>:</t>
        </r>
        <r>
          <rPr>
            <sz val="9"/>
            <color indexed="81"/>
            <rFont val="Tahoma"/>
            <family val="2"/>
          </rPr>
          <t xml:space="preserve"> English Language, Mathematics, M1/M2
</t>
        </r>
        <r>
          <rPr>
            <b/>
            <sz val="9"/>
            <color indexed="81"/>
            <rFont val="細明體"/>
            <family val="3"/>
            <charset val="136"/>
          </rPr>
          <t>較高比重</t>
        </r>
        <r>
          <rPr>
            <b/>
            <sz val="9"/>
            <color indexed="81"/>
            <rFont val="Tahoma"/>
            <family val="2"/>
          </rPr>
          <t>:</t>
        </r>
        <r>
          <rPr>
            <sz val="9"/>
            <color indexed="81"/>
            <rFont val="Tahoma"/>
            <family val="2"/>
          </rPr>
          <t xml:space="preserve"> Science Electives
</t>
        </r>
      </text>
    </comment>
    <comment ref="Q40" authorId="1" shapeId="0" xr:uid="{CEA0AD1C-59FE-41D1-96C5-EB6C9969F7D7}">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U40" authorId="0" shapeId="0" xr:uid="{60ED0021-9E93-4183-9DA0-6FC80A73925C}">
      <text>
        <r>
          <rPr>
            <b/>
            <sz val="9"/>
            <color indexed="81"/>
            <rFont val="Tahoma"/>
            <family val="2"/>
          </rPr>
          <t>M1/2 is required.</t>
        </r>
        <r>
          <rPr>
            <sz val="9"/>
            <color indexed="81"/>
            <rFont val="Tahoma"/>
            <family val="2"/>
          </rPr>
          <t xml:space="preserve">
</t>
        </r>
      </text>
    </comment>
    <comment ref="V40" authorId="1" shapeId="0" xr:uid="{CE5C639C-E7D1-4D65-AD8B-7B379A5A6D8D}">
      <text>
        <r>
          <rPr>
            <sz val="9"/>
            <color indexed="81"/>
            <rFont val="Tahoma"/>
            <family val="2"/>
          </rPr>
          <t>Penalty for</t>
        </r>
        <r>
          <rPr>
            <b/>
            <sz val="9"/>
            <color indexed="81"/>
            <rFont val="Tahoma"/>
            <family val="2"/>
          </rPr>
          <t xml:space="preserve"> previous sitting(s) (2019 or before)</t>
        </r>
        <r>
          <rPr>
            <sz val="9"/>
            <color indexed="81"/>
            <rFont val="Tahoma"/>
            <family val="2"/>
          </rPr>
          <t xml:space="preserve"> will be imposed on a case-by-case basis</t>
        </r>
      </text>
    </comment>
    <comment ref="E41" authorId="1" shapeId="0" xr:uid="{F80DBDF2-E63F-41AF-B173-F9E0CFFC99CB}">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
Consideration of both Category A and C subjects, in
which </t>
        </r>
        <r>
          <rPr>
            <b/>
            <sz val="9"/>
            <color indexed="81"/>
            <rFont val="Tahoma"/>
            <family val="2"/>
          </rPr>
          <t>M1/M2 can be included</t>
        </r>
        <r>
          <rPr>
            <sz val="9"/>
            <color indexed="81"/>
            <rFont val="Tahoma"/>
            <family val="2"/>
          </rPr>
          <t xml:space="preserve"> as an elective.</t>
        </r>
      </text>
    </comment>
    <comment ref="N41" authorId="1" shapeId="0" xr:uid="{B7D70EAA-0463-48C9-8851-5747613CB25C}">
      <text>
        <r>
          <rPr>
            <sz val="9"/>
            <color indexed="81"/>
            <rFont val="Tahoma"/>
            <family val="2"/>
          </rPr>
          <t xml:space="preserve">Letters of recommendation are not required; however, if you would like to submit them, no more than three letters should be sent. Both soft and hard copies are acceptable. You are required to submit at least one example of a creative work (fine art, writing, or other forms of creative output) for consideration. The portfolio should be submitted as a digital file to the Faculty office directly.
</t>
        </r>
      </text>
    </comment>
    <comment ref="Q41" authorId="1" shapeId="0" xr:uid="{EF343D44-657B-4477-986F-C769F0CA25CF}">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E42" authorId="0" shapeId="0" xr:uid="{63AC1CB7-7729-4E2F-864E-37F8251F1AC4}">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6 subjects must include </t>
        </r>
        <r>
          <rPr>
            <b/>
            <sz val="9"/>
            <color indexed="81"/>
            <rFont val="Tahoma"/>
            <family val="2"/>
          </rPr>
          <t>English Language, Mathematics.</t>
        </r>
        <r>
          <rPr>
            <sz val="9"/>
            <color indexed="81"/>
            <rFont val="Tahoma"/>
            <family val="2"/>
          </rPr>
          <t xml:space="preserve">
</t>
        </r>
      </text>
    </comment>
    <comment ref="Q42" authorId="1" shapeId="0" xr:uid="{AB255A64-3EE8-4C3A-BE65-15810627F3CF}">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U42" authorId="0" shapeId="0" xr:uid="{9A724455-A887-454C-A037-DC1060437588}">
      <text>
        <r>
          <rPr>
            <b/>
            <sz val="9"/>
            <color indexed="81"/>
            <rFont val="Tahoma"/>
            <family val="2"/>
          </rPr>
          <t>M1/2 is required.</t>
        </r>
        <r>
          <rPr>
            <sz val="9"/>
            <color indexed="81"/>
            <rFont val="Tahoma"/>
            <family val="2"/>
          </rPr>
          <t xml:space="preserve">
</t>
        </r>
      </text>
    </comment>
    <comment ref="E43" authorId="0" shapeId="0" xr:uid="{53B176F5-CC01-4055-AF9C-DCEE9AD401A5}">
      <text>
        <r>
          <rPr>
            <sz val="9"/>
            <color indexed="81"/>
            <rFont val="Tahoma"/>
            <family val="2"/>
          </rPr>
          <t xml:space="preserve">Consideration of both Category A and C subjects, </t>
        </r>
        <r>
          <rPr>
            <b/>
            <sz val="9"/>
            <color indexed="81"/>
            <rFont val="Tahoma"/>
            <family val="2"/>
          </rPr>
          <t>excluding M1/M2.</t>
        </r>
      </text>
    </comment>
    <comment ref="Q43" authorId="1" shapeId="0" xr:uid="{25B1BCEE-3120-4B54-9757-9BACE98D29E5}">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Michael</author>
  </authors>
  <commentList>
    <comment ref="L1" authorId="0" shapeId="0" xr:uid="{46402571-2495-49F8-A310-7978E7B78E1B}">
      <text>
        <r>
          <rPr>
            <b/>
            <sz val="9"/>
            <color indexed="81"/>
            <rFont val="Tahoma"/>
            <family val="2"/>
          </rPr>
          <t>2019</t>
        </r>
        <r>
          <rPr>
            <b/>
            <sz val="9"/>
            <color indexed="81"/>
            <rFont val="細明體"/>
            <family val="3"/>
            <charset val="136"/>
          </rPr>
          <t>年</t>
        </r>
        <r>
          <rPr>
            <b/>
            <sz val="9"/>
            <color indexed="81"/>
            <rFont val="Tahoma"/>
            <family val="2"/>
          </rPr>
          <t xml:space="preserve"> Band A
</t>
        </r>
        <r>
          <rPr>
            <b/>
            <sz val="9"/>
            <color indexed="81"/>
            <rFont val="細明體"/>
            <family val="3"/>
            <charset val="136"/>
          </rPr>
          <t>收生人數</t>
        </r>
        <r>
          <rPr>
            <sz val="9"/>
            <color indexed="81"/>
            <rFont val="Tahoma"/>
            <family val="2"/>
          </rPr>
          <t xml:space="preserve">
</t>
        </r>
      </text>
    </comment>
    <comment ref="E2" authorId="0" shapeId="0" xr:uid="{85C9DCE0-5312-4BAE-81EB-DEE6C8BE332E}">
      <text>
        <r>
          <rPr>
            <sz val="9"/>
            <color indexed="81"/>
            <rFont val="細明體"/>
            <family val="3"/>
            <charset val="136"/>
          </rPr>
          <t>中文、英文、中國歷史</t>
        </r>
        <r>
          <rPr>
            <sz val="9"/>
            <color indexed="81"/>
            <rFont val="Tahoma"/>
            <family val="2"/>
          </rPr>
          <t>/</t>
        </r>
        <r>
          <rPr>
            <sz val="9"/>
            <color indexed="81"/>
            <rFont val="細明體"/>
            <family val="3"/>
            <charset val="136"/>
          </rPr>
          <t>中國文學</t>
        </r>
        <r>
          <rPr>
            <sz val="9"/>
            <color indexed="81"/>
            <rFont val="Tahoma"/>
            <family val="2"/>
          </rPr>
          <t xml:space="preserve"> x1.5
</t>
        </r>
      </text>
    </comment>
    <comment ref="E3" authorId="0" shapeId="0" xr:uid="{44457F68-C6BF-4F65-BEF5-A2C2B223281B}">
      <text>
        <r>
          <rPr>
            <sz val="9"/>
            <color indexed="81"/>
            <rFont val="細明體"/>
            <family val="3"/>
            <charset val="136"/>
          </rPr>
          <t>英文</t>
        </r>
        <r>
          <rPr>
            <sz val="9"/>
            <color indexed="81"/>
            <rFont val="Tahoma"/>
            <family val="2"/>
          </rPr>
          <t xml:space="preserve"> x2
</t>
        </r>
        <r>
          <rPr>
            <sz val="9"/>
            <color indexed="81"/>
            <rFont val="細明體"/>
            <family val="3"/>
            <charset val="136"/>
          </rPr>
          <t>通識</t>
        </r>
        <r>
          <rPr>
            <sz val="9"/>
            <color indexed="81"/>
            <rFont val="Tahoma"/>
            <family val="2"/>
          </rPr>
          <t xml:space="preserve"> x1.5</t>
        </r>
      </text>
    </comment>
    <comment ref="E4" authorId="0" shapeId="0" xr:uid="{3DAF284C-A7A5-470D-9020-30021E9D43DB}">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x1.5</t>
        </r>
      </text>
    </comment>
    <comment ref="E5" authorId="0" shapeId="0" xr:uid="{0647A071-0DA9-40B4-9C83-5840B9F25C9B}">
      <text>
        <r>
          <rPr>
            <sz val="9"/>
            <color indexed="81"/>
            <rFont val="細明體"/>
            <family val="3"/>
            <charset val="136"/>
          </rPr>
          <t>中文、中國文學、英國文學</t>
        </r>
        <r>
          <rPr>
            <sz val="9"/>
            <color indexed="81"/>
            <rFont val="Tahoma"/>
            <family val="2"/>
          </rPr>
          <t xml:space="preserve">x 1.5
</t>
        </r>
        <r>
          <rPr>
            <sz val="9"/>
            <color indexed="81"/>
            <rFont val="細明體"/>
            <family val="3"/>
            <charset val="136"/>
          </rPr>
          <t>英文</t>
        </r>
        <r>
          <rPr>
            <sz val="9"/>
            <color indexed="81"/>
            <rFont val="Tahoma"/>
            <family val="2"/>
          </rPr>
          <t xml:space="preserve"> x 2
</t>
        </r>
      </text>
    </comment>
    <comment ref="E6" authorId="0" shapeId="0" xr:uid="{4E7EAF6C-1BE9-4594-826D-F722D3FC1473}">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x1.5
</t>
        </r>
      </text>
    </comment>
    <comment ref="E7" authorId="0" shapeId="0" xr:uid="{D66AFC52-9ED2-4CF4-BC4C-CA7AC15ADC8F}">
      <text>
        <r>
          <rPr>
            <sz val="9"/>
            <color indexed="81"/>
            <rFont val="細明體"/>
            <family val="3"/>
            <charset val="136"/>
          </rPr>
          <t>英文、數學、</t>
        </r>
        <r>
          <rPr>
            <sz val="9"/>
            <color indexed="81"/>
            <rFont val="Tahoma"/>
            <family val="2"/>
          </rPr>
          <t xml:space="preserve">ICT x2
</t>
        </r>
        <r>
          <rPr>
            <sz val="9"/>
            <color indexed="81"/>
            <rFont val="細明體"/>
            <family val="3"/>
            <charset val="136"/>
          </rPr>
          <t>化學、物理、組合科學、綜合科學</t>
        </r>
        <r>
          <rPr>
            <sz val="9"/>
            <color indexed="81"/>
            <rFont val="Tahoma"/>
            <family val="2"/>
          </rPr>
          <t xml:space="preserve"> x1.25</t>
        </r>
      </text>
    </comment>
    <comment ref="E8" authorId="0" shapeId="0" xr:uid="{4B221638-FEE3-4517-8BE8-44849E76E330}">
      <text>
        <r>
          <rPr>
            <sz val="9"/>
            <color indexed="81"/>
            <rFont val="細明體"/>
            <family val="3"/>
            <charset val="136"/>
          </rPr>
          <t>英文</t>
        </r>
        <r>
          <rPr>
            <sz val="9"/>
            <color indexed="81"/>
            <rFont val="Tahoma"/>
            <family val="2"/>
          </rPr>
          <t xml:space="preserve"> x2
</t>
        </r>
        <r>
          <rPr>
            <sz val="9"/>
            <color indexed="81"/>
            <rFont val="細明體"/>
            <family val="3"/>
            <charset val="136"/>
          </rPr>
          <t>數學、通識</t>
        </r>
        <r>
          <rPr>
            <sz val="9"/>
            <color indexed="81"/>
            <rFont val="Tahoma"/>
            <family val="2"/>
          </rPr>
          <t>x1.5</t>
        </r>
      </text>
    </comment>
    <comment ref="E9" authorId="0" shapeId="0" xr:uid="{03A787F1-BBE9-4154-9C33-6C7C2B8E0357}">
      <text>
        <r>
          <rPr>
            <sz val="9"/>
            <color indexed="81"/>
            <rFont val="細明體"/>
            <family val="3"/>
            <charset val="136"/>
          </rPr>
          <t>中文</t>
        </r>
        <r>
          <rPr>
            <sz val="9"/>
            <color indexed="81"/>
            <rFont val="Tahoma"/>
            <family val="2"/>
          </rPr>
          <t xml:space="preserve"> x1.5
</t>
        </r>
        <r>
          <rPr>
            <sz val="9"/>
            <color indexed="81"/>
            <rFont val="細明體"/>
            <family val="3"/>
            <charset val="136"/>
          </rPr>
          <t>英文</t>
        </r>
        <r>
          <rPr>
            <sz val="9"/>
            <color indexed="81"/>
            <rFont val="Tahoma"/>
            <family val="2"/>
          </rPr>
          <t xml:space="preserve"> x2</t>
        </r>
      </text>
    </comment>
    <comment ref="E10" authorId="0" shapeId="0" xr:uid="{773B7220-57A4-4A16-B809-1BB0FB619952}">
      <text>
        <r>
          <rPr>
            <sz val="9"/>
            <color indexed="81"/>
            <rFont val="細明體"/>
            <family val="3"/>
            <charset val="136"/>
          </rPr>
          <t>中文</t>
        </r>
        <r>
          <rPr>
            <sz val="9"/>
            <color indexed="81"/>
            <rFont val="Tahoma"/>
            <family val="2"/>
          </rPr>
          <t xml:space="preserve"> x1.5
</t>
        </r>
        <r>
          <rPr>
            <sz val="9"/>
            <color indexed="81"/>
            <rFont val="細明體"/>
            <family val="3"/>
            <charset val="136"/>
          </rPr>
          <t>英文</t>
        </r>
        <r>
          <rPr>
            <sz val="9"/>
            <color indexed="81"/>
            <rFont val="Tahoma"/>
            <family val="2"/>
          </rPr>
          <t xml:space="preserve"> x2
</t>
        </r>
      </text>
    </comment>
    <comment ref="E11" authorId="0" shapeId="0" xr:uid="{8F07295D-36D9-464A-9F0A-6877706A2AA2}">
      <text>
        <r>
          <rPr>
            <sz val="9"/>
            <color indexed="81"/>
            <rFont val="細明體"/>
            <family val="3"/>
            <charset val="136"/>
          </rPr>
          <t>中文</t>
        </r>
        <r>
          <rPr>
            <sz val="9"/>
            <color indexed="81"/>
            <rFont val="Tahoma"/>
            <family val="2"/>
          </rPr>
          <t xml:space="preserve"> x1.5
</t>
        </r>
        <r>
          <rPr>
            <sz val="9"/>
            <color indexed="81"/>
            <rFont val="細明體"/>
            <family val="3"/>
            <charset val="136"/>
          </rPr>
          <t>英文</t>
        </r>
        <r>
          <rPr>
            <sz val="9"/>
            <color indexed="81"/>
            <rFont val="Tahoma"/>
            <family val="2"/>
          </rPr>
          <t xml:space="preserve"> x2
</t>
        </r>
        <r>
          <rPr>
            <sz val="9"/>
            <color indexed="81"/>
            <rFont val="細明體"/>
            <family val="3"/>
            <charset val="136"/>
          </rPr>
          <t>中國歷史、歷史</t>
        </r>
        <r>
          <rPr>
            <sz val="9"/>
            <color indexed="81"/>
            <rFont val="Tahoma"/>
            <family val="2"/>
          </rPr>
          <t xml:space="preserve"> x1.2</t>
        </r>
      </text>
    </comment>
    <comment ref="E12" authorId="0" shapeId="0" xr:uid="{75592753-D4C9-476C-9F40-C4F1BD8A6090}">
      <text>
        <r>
          <rPr>
            <sz val="9"/>
            <color indexed="81"/>
            <rFont val="細明體"/>
            <family val="3"/>
            <charset val="136"/>
          </rPr>
          <t>中文、數學</t>
        </r>
        <r>
          <rPr>
            <sz val="9"/>
            <color indexed="81"/>
            <rFont val="Tahoma"/>
            <family val="2"/>
          </rPr>
          <t xml:space="preserve"> x1.5
</t>
        </r>
        <r>
          <rPr>
            <sz val="9"/>
            <color indexed="81"/>
            <rFont val="細明體"/>
            <family val="3"/>
            <charset val="136"/>
          </rPr>
          <t>英文</t>
        </r>
        <r>
          <rPr>
            <sz val="9"/>
            <color indexed="81"/>
            <rFont val="Tahoma"/>
            <family val="2"/>
          </rPr>
          <t xml:space="preserve"> x2</t>
        </r>
      </text>
    </comment>
    <comment ref="E13" authorId="0" shapeId="0" xr:uid="{7E4A5A07-2100-45B4-AA04-6240198EF9DD}">
      <text>
        <r>
          <rPr>
            <sz val="9"/>
            <color indexed="81"/>
            <rFont val="細明體"/>
            <family val="3"/>
            <charset val="136"/>
          </rPr>
          <t>中文</t>
        </r>
        <r>
          <rPr>
            <sz val="9"/>
            <color indexed="81"/>
            <rFont val="Tahoma"/>
            <family val="2"/>
          </rPr>
          <t xml:space="preserve"> x1.5
</t>
        </r>
        <r>
          <rPr>
            <sz val="9"/>
            <color indexed="81"/>
            <rFont val="細明體"/>
            <family val="3"/>
            <charset val="136"/>
          </rPr>
          <t>英文</t>
        </r>
        <r>
          <rPr>
            <sz val="9"/>
            <color indexed="81"/>
            <rFont val="Tahoma"/>
            <family val="2"/>
          </rPr>
          <t xml:space="preserve"> x2</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Michael Chan</author>
  </authors>
  <commentList>
    <comment ref="C2" authorId="0" shapeId="0" xr:uid="{73E16070-A189-4568-9D1E-E809E4776372}">
      <text>
        <r>
          <rPr>
            <sz val="9"/>
            <color indexed="81"/>
            <rFont val="Tahoma"/>
            <family val="2"/>
          </rPr>
          <t xml:space="preserve">This programme requires </t>
        </r>
        <r>
          <rPr>
            <b/>
            <sz val="9"/>
            <color indexed="81"/>
            <rFont val="Tahoma"/>
            <family val="2"/>
          </rPr>
          <t>high Chinese language proficiency</t>
        </r>
        <r>
          <rPr>
            <sz val="9"/>
            <color indexed="81"/>
            <rFont val="Tahoma"/>
            <family val="2"/>
          </rPr>
          <t>. The HKDSE Chinese Language requirement cannot be substituted.</t>
        </r>
      </text>
    </comment>
    <comment ref="C5" authorId="0" shapeId="0" xr:uid="{7A3B8BFF-72F0-449D-8CD1-21191816EC5C}">
      <text>
        <r>
          <rPr>
            <sz val="9"/>
            <color indexed="81"/>
            <rFont val="Tahoma"/>
            <family val="2"/>
          </rPr>
          <t xml:space="preserve">(I) </t>
        </r>
        <r>
          <rPr>
            <b/>
            <sz val="9"/>
            <color indexed="81"/>
            <rFont val="Tahoma"/>
            <family val="2"/>
          </rPr>
          <t xml:space="preserve">Level 3 or above in Mathematics </t>
        </r>
        <r>
          <rPr>
            <sz val="9"/>
            <color indexed="81"/>
            <rFont val="Tahoma"/>
            <family val="2"/>
          </rPr>
          <t xml:space="preserve">(Compulsory Part) and </t>
        </r>
        <r>
          <rPr>
            <b/>
            <sz val="9"/>
            <color indexed="81"/>
            <rFont val="Tahoma"/>
            <family val="2"/>
          </rPr>
          <t>Level 2 or above in M1/M2</t>
        </r>
        <r>
          <rPr>
            <sz val="9"/>
            <color indexed="81"/>
            <rFont val="Tahoma"/>
            <family val="2"/>
          </rPr>
          <t xml:space="preserve"> of Mathematics (Extended Part)
or
(II) Applicants who obtain </t>
        </r>
        <r>
          <rPr>
            <b/>
            <sz val="9"/>
            <color indexed="81"/>
            <rFont val="Tahoma"/>
            <family val="2"/>
          </rPr>
          <t>Level 5 or above in Mathematics</t>
        </r>
        <r>
          <rPr>
            <sz val="9"/>
            <color indexed="81"/>
            <rFont val="Tahoma"/>
            <family val="2"/>
          </rPr>
          <t xml:space="preserve"> (Compulsory Part) but do not take M1/ M2 of Mathematics (Extended Part) will be considered for admission on an individual basis.</t>
        </r>
      </text>
    </comment>
    <comment ref="E5" authorId="0" shapeId="0" xr:uid="{AAD8E994-EF8B-41E9-A7E3-F73B1690EAF6}">
      <text>
        <r>
          <rPr>
            <sz val="9"/>
            <color indexed="81"/>
            <rFont val="Tahoma"/>
            <family val="2"/>
          </rPr>
          <t xml:space="preserve">For BEd(P)-MA, preferred HKDSE subjects with the </t>
        </r>
        <r>
          <rPr>
            <b/>
            <sz val="9"/>
            <color indexed="81"/>
            <rFont val="Tahoma"/>
            <family val="2"/>
          </rPr>
          <t>highest weighting</t>
        </r>
        <r>
          <rPr>
            <sz val="9"/>
            <color indexed="81"/>
            <rFont val="Tahoma"/>
            <family val="2"/>
          </rPr>
          <t xml:space="preserve"> for admission score calculation include: 
Mathematics (Compulsory Part) / M1/2 / ICT / DAT / Combined Science / Integrated Science / Physics / Chemistry / Biology.</t>
        </r>
      </text>
    </comment>
    <comment ref="R5" authorId="0" shapeId="0" xr:uid="{99627B3D-E9AE-41AE-9EB4-D189663DCCA3}">
      <text>
        <r>
          <rPr>
            <sz val="9"/>
            <color indexed="81"/>
            <rFont val="Tahoma"/>
            <family val="2"/>
          </rPr>
          <t xml:space="preserve">(I) </t>
        </r>
        <r>
          <rPr>
            <b/>
            <sz val="9"/>
            <color indexed="81"/>
            <rFont val="Tahoma"/>
            <family val="2"/>
          </rPr>
          <t xml:space="preserve">Level 3 or above in Mathematics </t>
        </r>
        <r>
          <rPr>
            <sz val="9"/>
            <color indexed="81"/>
            <rFont val="Tahoma"/>
            <family val="2"/>
          </rPr>
          <t xml:space="preserve">(Compulsory Part) and </t>
        </r>
        <r>
          <rPr>
            <b/>
            <sz val="9"/>
            <color indexed="81"/>
            <rFont val="Tahoma"/>
            <family val="2"/>
          </rPr>
          <t>Level 2 or above in M1/M2</t>
        </r>
        <r>
          <rPr>
            <sz val="9"/>
            <color indexed="81"/>
            <rFont val="Tahoma"/>
            <family val="2"/>
          </rPr>
          <t xml:space="preserve"> of Mathematics (Extended Part)
or
(II) Applicants who obtain</t>
        </r>
        <r>
          <rPr>
            <b/>
            <sz val="9"/>
            <color indexed="81"/>
            <rFont val="Tahoma"/>
            <family val="2"/>
          </rPr>
          <t xml:space="preserve"> Level 5 or above in Mathematics</t>
        </r>
        <r>
          <rPr>
            <sz val="9"/>
            <color indexed="81"/>
            <rFont val="Tahoma"/>
            <family val="2"/>
          </rPr>
          <t xml:space="preserve"> (Compulsory Part) but do not take M1/ M2 of Mathematics (Extended Part) will be considered for admission on an individual basis.</t>
        </r>
      </text>
    </comment>
    <comment ref="C6" authorId="0" shapeId="0" xr:uid="{3C2CD3BF-1614-43F3-8EF9-7376FED51911}">
      <text>
        <r>
          <rPr>
            <sz val="9"/>
            <color indexed="81"/>
            <rFont val="Tahoma"/>
            <family val="2"/>
          </rPr>
          <t>Satisfactory performance in a practical test is also required.</t>
        </r>
      </text>
    </comment>
    <comment ref="E6" authorId="0" shapeId="0" xr:uid="{6B2DEF09-0D20-4EF1-B151-AEBE9BB3FA20}">
      <text>
        <r>
          <rPr>
            <sz val="9"/>
            <color indexed="81"/>
            <rFont val="Tahoma"/>
            <family val="2"/>
          </rPr>
          <t xml:space="preserve">For BEd(PE), preferred HKDSE subject with the </t>
        </r>
        <r>
          <rPr>
            <b/>
            <sz val="9"/>
            <color indexed="81"/>
            <rFont val="Tahoma"/>
            <family val="2"/>
          </rPr>
          <t>highest weighting</t>
        </r>
        <r>
          <rPr>
            <sz val="9"/>
            <color indexed="81"/>
            <rFont val="Tahoma"/>
            <family val="2"/>
          </rPr>
          <t xml:space="preserve"> for admission score calculation is </t>
        </r>
        <r>
          <rPr>
            <b/>
            <sz val="9"/>
            <color indexed="81"/>
            <rFont val="Tahoma"/>
            <family val="2"/>
          </rPr>
          <t xml:space="preserve">Physical Education (PE). </t>
        </r>
        <r>
          <rPr>
            <sz val="9"/>
            <color indexed="81"/>
            <rFont val="Tahoma"/>
            <family val="2"/>
          </rPr>
          <t xml:space="preserve">
However, applicants not taking PE in the HKDSE examination will also be considered. In addition, admission interview performance is a key factor in determining the admission or otherwise of an applicant.
</t>
        </r>
      </text>
    </comment>
    <comment ref="L6" authorId="0" shapeId="0" xr:uid="{35768B42-2259-404F-932A-E57764CA817D}">
      <text>
        <r>
          <rPr>
            <sz val="9"/>
            <color indexed="81"/>
            <rFont val="Tahoma"/>
            <family val="2"/>
          </rPr>
          <t xml:space="preserve">Satisfactory performance in a </t>
        </r>
        <r>
          <rPr>
            <b/>
            <sz val="9"/>
            <color indexed="81"/>
            <rFont val="Tahoma"/>
            <family val="2"/>
          </rPr>
          <t>practical test</t>
        </r>
        <r>
          <rPr>
            <sz val="9"/>
            <color indexed="81"/>
            <rFont val="Tahoma"/>
            <family val="2"/>
          </rPr>
          <t xml:space="preserve"> is also required.</t>
        </r>
      </text>
    </comment>
    <comment ref="E7" authorId="0" shapeId="0" xr:uid="{D6453096-FB62-4A1B-B9E1-B19C41F0912C}">
      <text>
        <r>
          <rPr>
            <sz val="9"/>
            <color indexed="81"/>
            <rFont val="Tahoma"/>
            <family val="2"/>
          </rPr>
          <t xml:space="preserve">For BEd(S)-ICT, preferred HKDSE subjects with the </t>
        </r>
        <r>
          <rPr>
            <b/>
            <sz val="9"/>
            <color indexed="81"/>
            <rFont val="Tahoma"/>
            <family val="2"/>
          </rPr>
          <t>highest weighting</t>
        </r>
        <r>
          <rPr>
            <sz val="9"/>
            <color indexed="81"/>
            <rFont val="Tahoma"/>
            <family val="2"/>
          </rPr>
          <t xml:space="preserve"> for admission score calculation include: 
English Language / Mathematics (Compulsory Part) / M1 / M2 / ICT</t>
        </r>
      </text>
    </comment>
    <comment ref="R7" authorId="0" shapeId="0" xr:uid="{CB51443B-63C9-4683-AA49-FF0E8FBC839E}">
      <text>
        <r>
          <rPr>
            <b/>
            <sz val="9"/>
            <color indexed="81"/>
            <rFont val="Tahoma"/>
            <family val="2"/>
          </rPr>
          <t>Level 2 or above</t>
        </r>
        <r>
          <rPr>
            <sz val="9"/>
            <color indexed="81"/>
            <rFont val="Tahoma"/>
            <family val="2"/>
          </rPr>
          <t xml:space="preserve"> in HKDSE ICT or one HKDSE Science subject (i.e. Biology / Chemistry / Physics / Combined Science / Integrated Science)</t>
        </r>
      </text>
    </comment>
    <comment ref="E8" authorId="0" shapeId="0" xr:uid="{B5E78EDA-AA10-4189-9585-6F28122CE886}">
      <text>
        <r>
          <rPr>
            <sz val="9"/>
            <color indexed="81"/>
            <rFont val="Tahoma"/>
            <family val="2"/>
          </rPr>
          <t xml:space="preserve">For BEd(BAFS), preferred HKDSE subject with the </t>
        </r>
        <r>
          <rPr>
            <b/>
            <sz val="9"/>
            <color indexed="81"/>
            <rFont val="Tahoma"/>
            <family val="2"/>
          </rPr>
          <t>highest weighting</t>
        </r>
        <r>
          <rPr>
            <sz val="9"/>
            <color indexed="81"/>
            <rFont val="Tahoma"/>
            <family val="2"/>
          </rPr>
          <t xml:space="preserve"> for admission score calculation is </t>
        </r>
        <r>
          <rPr>
            <b/>
            <sz val="9"/>
            <color indexed="81"/>
            <rFont val="Tahoma"/>
            <family val="2"/>
          </rPr>
          <t>Business, Accounting and Financial Studies.</t>
        </r>
      </text>
    </comment>
    <comment ref="C9" authorId="0" shapeId="0" xr:uid="{9AB83E57-8628-4CE4-A005-90A2DACD7FBB}">
      <text>
        <r>
          <rPr>
            <sz val="9"/>
            <color indexed="81"/>
            <rFont val="Tahoma"/>
            <family val="2"/>
          </rPr>
          <t xml:space="preserve">Priority consideration will be given to applicants who have taken HKDSE </t>
        </r>
        <r>
          <rPr>
            <b/>
            <sz val="9"/>
            <color indexed="81"/>
            <rFont val="Tahoma"/>
            <family val="2"/>
          </rPr>
          <t>History / Chinese History</t>
        </r>
        <r>
          <rPr>
            <sz val="9"/>
            <color indexed="81"/>
            <rFont val="Tahoma"/>
            <family val="2"/>
          </rPr>
          <t>.</t>
        </r>
      </text>
    </comment>
    <comment ref="E9" authorId="0" shapeId="0" xr:uid="{01A1469A-3328-4F83-AC20-F64CAE213F83}">
      <text>
        <r>
          <rPr>
            <sz val="9"/>
            <color indexed="81"/>
            <rFont val="Tahoma"/>
            <family val="2"/>
          </rPr>
          <t xml:space="preserve">For BEd(HIST), preferred HKDSE subjects with the </t>
        </r>
        <r>
          <rPr>
            <b/>
            <sz val="9"/>
            <color indexed="81"/>
            <rFont val="Tahoma"/>
            <family val="2"/>
          </rPr>
          <t xml:space="preserve">highest weighting </t>
        </r>
        <r>
          <rPr>
            <sz val="9"/>
            <color indexed="81"/>
            <rFont val="Tahoma"/>
            <family val="2"/>
          </rPr>
          <t>for admission score calculation include: 
History / Chinese History. 
In case, an applicant takes both History and Chinese History, only the better subject will be given a weighted score.</t>
        </r>
      </text>
    </comment>
    <comment ref="R9" authorId="0" shapeId="0" xr:uid="{8F6B438D-D3E7-4BCA-9155-7DB874C6CB0C}">
      <text>
        <r>
          <rPr>
            <sz val="9"/>
            <color indexed="81"/>
            <rFont val="Tahoma"/>
            <family val="2"/>
          </rPr>
          <t xml:space="preserve">Priority consideration will be given to applicants who have taken HKDSE </t>
        </r>
        <r>
          <rPr>
            <b/>
            <sz val="9"/>
            <color indexed="81"/>
            <rFont val="Tahoma"/>
            <family val="2"/>
          </rPr>
          <t>History / Chinese History</t>
        </r>
        <r>
          <rPr>
            <sz val="9"/>
            <color indexed="81"/>
            <rFont val="Tahoma"/>
            <family val="2"/>
          </rPr>
          <t>.</t>
        </r>
      </text>
    </comment>
    <comment ref="C10" authorId="0" shapeId="0" xr:uid="{28DEA886-54ED-4C31-BD85-1260FED845EB}">
      <text>
        <r>
          <rPr>
            <sz val="9"/>
            <color indexed="81"/>
            <rFont val="Tahoma"/>
            <family val="2"/>
          </rPr>
          <t>(I)</t>
        </r>
        <r>
          <rPr>
            <b/>
            <sz val="9"/>
            <color indexed="81"/>
            <rFont val="Tahoma"/>
            <family val="2"/>
          </rPr>
          <t xml:space="preserve"> Level 3 or above in Mathematics </t>
        </r>
        <r>
          <rPr>
            <sz val="9"/>
            <color indexed="81"/>
            <rFont val="Tahoma"/>
            <family val="2"/>
          </rPr>
          <t xml:space="preserve">(Compulsory Part) and </t>
        </r>
        <r>
          <rPr>
            <b/>
            <sz val="9"/>
            <color indexed="81"/>
            <rFont val="Tahoma"/>
            <family val="2"/>
          </rPr>
          <t>Level 2 or above in M1/M2</t>
        </r>
        <r>
          <rPr>
            <sz val="9"/>
            <color indexed="81"/>
            <rFont val="Tahoma"/>
            <family val="2"/>
          </rPr>
          <t xml:space="preserve"> of Mathematics (Extended Part)
or
(II) Applicants who obtain </t>
        </r>
        <r>
          <rPr>
            <b/>
            <sz val="9"/>
            <color indexed="81"/>
            <rFont val="Tahoma"/>
            <family val="2"/>
          </rPr>
          <t>Level 5 or above in Mathematics</t>
        </r>
        <r>
          <rPr>
            <sz val="9"/>
            <color indexed="81"/>
            <rFont val="Tahoma"/>
            <family val="2"/>
          </rPr>
          <t xml:space="preserve"> (Compulsory Part) but do not take M1/ M2 of Mathematics (Extended Part) will be considered for admission on an individual basis.
</t>
        </r>
      </text>
    </comment>
    <comment ref="E10" authorId="0" shapeId="0" xr:uid="{30C69948-A3EB-4E54-85D4-7CFDAFADD03D}">
      <text>
        <r>
          <rPr>
            <sz val="9"/>
            <color indexed="81"/>
            <rFont val="Tahoma"/>
            <family val="2"/>
          </rPr>
          <t>For BEd(S)-MA, preferred HKDSE subjects with the</t>
        </r>
        <r>
          <rPr>
            <b/>
            <sz val="9"/>
            <color indexed="81"/>
            <rFont val="Tahoma"/>
            <family val="2"/>
          </rPr>
          <t xml:space="preserve"> highest weighting</t>
        </r>
        <r>
          <rPr>
            <sz val="9"/>
            <color indexed="81"/>
            <rFont val="Tahoma"/>
            <family val="2"/>
          </rPr>
          <t xml:space="preserve"> for admission score calculation include: 
Mathematics (Compulsory Part) / M1/2 / English Language / ICT / DAT / Combined Science / Integrated Science / Physics / Chemistry / Biology.
</t>
        </r>
      </text>
    </comment>
    <comment ref="R10" authorId="0" shapeId="0" xr:uid="{100F905E-BD71-483D-98ED-54C079E9193C}">
      <text>
        <r>
          <rPr>
            <sz val="9"/>
            <color indexed="81"/>
            <rFont val="Tahoma"/>
            <family val="2"/>
          </rPr>
          <t xml:space="preserve">(I) </t>
        </r>
        <r>
          <rPr>
            <b/>
            <sz val="9"/>
            <color indexed="81"/>
            <rFont val="Tahoma"/>
            <family val="2"/>
          </rPr>
          <t xml:space="preserve">Level 3 or above in Mathematics </t>
        </r>
        <r>
          <rPr>
            <sz val="9"/>
            <color indexed="81"/>
            <rFont val="Tahoma"/>
            <family val="2"/>
          </rPr>
          <t xml:space="preserve">(Compulsory Part) and </t>
        </r>
        <r>
          <rPr>
            <b/>
            <sz val="9"/>
            <color indexed="81"/>
            <rFont val="Tahoma"/>
            <family val="2"/>
          </rPr>
          <t>Level 2 or above in M1/M2</t>
        </r>
        <r>
          <rPr>
            <sz val="9"/>
            <color indexed="81"/>
            <rFont val="Tahoma"/>
            <family val="2"/>
          </rPr>
          <t xml:space="preserve"> of Mathematics (Extended Part)
or
(II) Applicants who obtain</t>
        </r>
        <r>
          <rPr>
            <b/>
            <sz val="9"/>
            <color indexed="81"/>
            <rFont val="Tahoma"/>
            <family val="2"/>
          </rPr>
          <t xml:space="preserve"> Level 5 or above in Mathematics</t>
        </r>
        <r>
          <rPr>
            <sz val="9"/>
            <color indexed="81"/>
            <rFont val="Tahoma"/>
            <family val="2"/>
          </rPr>
          <t xml:space="preserve"> (Compulsory Part) but do not take M1/ M2 of Mathematics (Extended Part) will be considered for admission on an individual basis.</t>
        </r>
      </text>
    </comment>
    <comment ref="E12" authorId="0" shapeId="0" xr:uid="{5BB7E9CA-0FD9-4FDB-B751-D05AD828D178}">
      <text>
        <r>
          <rPr>
            <sz val="9"/>
            <color indexed="81"/>
            <rFont val="Tahoma"/>
            <family val="2"/>
          </rPr>
          <t>For BEd(GEOG), preferred HKDSE subject with the</t>
        </r>
        <r>
          <rPr>
            <b/>
            <sz val="9"/>
            <color indexed="81"/>
            <rFont val="Tahoma"/>
            <family val="2"/>
          </rPr>
          <t xml:space="preserve"> highest weighting</t>
        </r>
        <r>
          <rPr>
            <sz val="9"/>
            <color indexed="81"/>
            <rFont val="Tahoma"/>
            <family val="2"/>
          </rPr>
          <t xml:space="preserve"> for admission score calculation is Geography.</t>
        </r>
      </text>
    </comment>
    <comment ref="E13" authorId="0" shapeId="0" xr:uid="{FEA4AAAA-4FB9-4307-868A-6A259457922B}">
      <text>
        <r>
          <rPr>
            <sz val="9"/>
            <color indexed="81"/>
            <rFont val="Tahoma"/>
            <family val="2"/>
          </rPr>
          <t xml:space="preserve">For BEd(Science), preferred HKDSE subjects with the </t>
        </r>
        <r>
          <rPr>
            <b/>
            <sz val="9"/>
            <color indexed="81"/>
            <rFont val="Tahoma"/>
            <family val="2"/>
          </rPr>
          <t>highest weighting</t>
        </r>
        <r>
          <rPr>
            <sz val="9"/>
            <color indexed="81"/>
            <rFont val="Tahoma"/>
            <family val="2"/>
          </rPr>
          <t xml:space="preserve"> for admission score calculation include: 
Combined Science / Integrated Science / Physics / Chemistry / Biology.
</t>
        </r>
      </text>
    </comment>
    <comment ref="R13" authorId="0" shapeId="0" xr:uid="{FAF26B07-EEE8-419A-B94F-E79682683E3F}">
      <text>
        <r>
          <rPr>
            <b/>
            <sz val="9"/>
            <color indexed="81"/>
            <rFont val="Tahoma"/>
            <family val="2"/>
          </rPr>
          <t xml:space="preserve">Level 4 or above in one HKDSE Science subject </t>
        </r>
        <r>
          <rPr>
            <sz val="9"/>
            <color indexed="81"/>
            <rFont val="Tahoma"/>
            <family val="2"/>
          </rPr>
          <t>(i.e. Biology / Chemistry / Physics / Combined Science / Integrated Science) or equivalent qualifications.</t>
        </r>
      </text>
    </comment>
    <comment ref="C14" authorId="0" shapeId="0" xr:uid="{AC5860B4-9FE6-4264-8979-FACEEBDE5F92}">
      <text>
        <r>
          <rPr>
            <sz val="9"/>
            <color indexed="81"/>
            <rFont val="Tahoma"/>
            <family val="2"/>
          </rPr>
          <t xml:space="preserve">Applicants who have obtained </t>
        </r>
        <r>
          <rPr>
            <b/>
            <sz val="9"/>
            <color indexed="81"/>
            <rFont val="Tahoma"/>
            <family val="2"/>
          </rPr>
          <t>Level 2 or above</t>
        </r>
        <r>
          <rPr>
            <sz val="9"/>
            <color indexed="81"/>
            <rFont val="Tahoma"/>
            <family val="2"/>
          </rPr>
          <t xml:space="preserve"> in HKDSE </t>
        </r>
        <r>
          <rPr>
            <b/>
            <sz val="9"/>
            <color indexed="81"/>
            <rFont val="Tahoma"/>
            <family val="2"/>
          </rPr>
          <t xml:space="preserve">Chinese Literature </t>
        </r>
        <r>
          <rPr>
            <sz val="9"/>
            <color indexed="81"/>
            <rFont val="Tahoma"/>
            <family val="2"/>
          </rPr>
          <t>will have an advantage. This programme requires high Chinese language proficiency. The HKDSE Chinese Language requirement cannot be substituted.</t>
        </r>
      </text>
    </comment>
    <comment ref="E14" authorId="0" shapeId="0" xr:uid="{6E816410-F38A-4955-AD00-580640F49CF3}">
      <text>
        <r>
          <rPr>
            <sz val="9"/>
            <color indexed="81"/>
            <rFont val="Tahoma"/>
            <family val="2"/>
          </rPr>
          <t xml:space="preserve">For BA(Lang Studies)-CN, preferred HKDSE subject with the </t>
        </r>
        <r>
          <rPr>
            <b/>
            <sz val="9"/>
            <color indexed="81"/>
            <rFont val="Tahoma"/>
            <family val="2"/>
          </rPr>
          <t xml:space="preserve">highest weighting </t>
        </r>
        <r>
          <rPr>
            <sz val="9"/>
            <color indexed="81"/>
            <rFont val="Tahoma"/>
            <family val="2"/>
          </rPr>
          <t>for admission score calculation is Chinese Language.</t>
        </r>
      </text>
    </comment>
    <comment ref="R14" authorId="0" shapeId="0" xr:uid="{DDE0B871-A283-4709-A6ED-A77AB3428B23}">
      <text>
        <r>
          <rPr>
            <sz val="9"/>
            <color indexed="81"/>
            <rFont val="Tahoma"/>
            <family val="2"/>
          </rPr>
          <t>Applicants who have obtained</t>
        </r>
        <r>
          <rPr>
            <b/>
            <sz val="9"/>
            <color indexed="81"/>
            <rFont val="Tahoma"/>
            <family val="2"/>
          </rPr>
          <t xml:space="preserve"> Level 2 or above</t>
        </r>
        <r>
          <rPr>
            <sz val="9"/>
            <color indexed="81"/>
            <rFont val="Tahoma"/>
            <family val="2"/>
          </rPr>
          <t xml:space="preserve"> in HKDSE </t>
        </r>
        <r>
          <rPr>
            <b/>
            <sz val="9"/>
            <color indexed="81"/>
            <rFont val="Tahoma"/>
            <family val="2"/>
          </rPr>
          <t>Chinese Literature</t>
        </r>
        <r>
          <rPr>
            <sz val="9"/>
            <color indexed="81"/>
            <rFont val="Tahoma"/>
            <family val="2"/>
          </rPr>
          <t xml:space="preserve"> will have an advantage. This programme requires high Chinese language proficiency. The HKDSE Chinese Language requirement cannot be substituted.</t>
        </r>
      </text>
    </comment>
    <comment ref="C15" authorId="0" shapeId="0" xr:uid="{37B4A9A6-2B79-4130-8261-2D03FE5C6D95}">
      <text>
        <r>
          <rPr>
            <sz val="9"/>
            <color indexed="81"/>
            <rFont val="Tahoma"/>
            <family val="2"/>
          </rPr>
          <t xml:space="preserve">Applicants who have obtained </t>
        </r>
        <r>
          <rPr>
            <b/>
            <sz val="9"/>
            <color indexed="81"/>
            <rFont val="Tahoma"/>
            <family val="2"/>
          </rPr>
          <t>Level 2 or above</t>
        </r>
        <r>
          <rPr>
            <sz val="9"/>
            <color indexed="81"/>
            <rFont val="Tahoma"/>
            <family val="2"/>
          </rPr>
          <t xml:space="preserve"> in HKDSE </t>
        </r>
        <r>
          <rPr>
            <b/>
            <sz val="9"/>
            <color indexed="81"/>
            <rFont val="Tahoma"/>
            <family val="2"/>
          </rPr>
          <t>Literature in English</t>
        </r>
        <r>
          <rPr>
            <sz val="9"/>
            <color indexed="81"/>
            <rFont val="Tahoma"/>
            <family val="2"/>
          </rPr>
          <t xml:space="preserve"> will have an advantage.</t>
        </r>
      </text>
    </comment>
    <comment ref="E15" authorId="0" shapeId="0" xr:uid="{8664226A-015C-4407-AA48-183DD254EB23}">
      <text>
        <r>
          <rPr>
            <sz val="9"/>
            <color indexed="81"/>
            <rFont val="Tahoma"/>
            <family val="2"/>
          </rPr>
          <t xml:space="preserve">For BA(Lang Studies)-EG, preferred HKDSE subject with the </t>
        </r>
        <r>
          <rPr>
            <b/>
            <sz val="9"/>
            <color indexed="81"/>
            <rFont val="Tahoma"/>
            <family val="2"/>
          </rPr>
          <t xml:space="preserve">highest weighting </t>
        </r>
        <r>
          <rPr>
            <sz val="9"/>
            <color indexed="81"/>
            <rFont val="Tahoma"/>
            <family val="2"/>
          </rPr>
          <t>for admission score calculation is English Language.</t>
        </r>
      </text>
    </comment>
    <comment ref="R15" authorId="0" shapeId="0" xr:uid="{6BF992C8-D6FA-4865-BE83-6BC541B1C173}">
      <text>
        <r>
          <rPr>
            <sz val="9"/>
            <color indexed="81"/>
            <rFont val="Tahoma"/>
            <family val="2"/>
          </rPr>
          <t xml:space="preserve">Applicants who have obtained </t>
        </r>
        <r>
          <rPr>
            <b/>
            <sz val="9"/>
            <color indexed="81"/>
            <rFont val="Tahoma"/>
            <family val="2"/>
          </rPr>
          <t>Level 2 or above</t>
        </r>
        <r>
          <rPr>
            <sz val="9"/>
            <color indexed="81"/>
            <rFont val="Tahoma"/>
            <family val="2"/>
          </rPr>
          <t xml:space="preserve"> in HKDSE </t>
        </r>
        <r>
          <rPr>
            <b/>
            <sz val="9"/>
            <color indexed="81"/>
            <rFont val="Tahoma"/>
            <family val="2"/>
          </rPr>
          <t>Literature in English</t>
        </r>
        <r>
          <rPr>
            <sz val="9"/>
            <color indexed="81"/>
            <rFont val="Tahoma"/>
            <family val="2"/>
          </rPr>
          <t xml:space="preserve"> will have an advantage.
</t>
        </r>
      </text>
    </comment>
    <comment ref="C17" authorId="0" shapeId="0" xr:uid="{196F24D4-0E80-4D84-B3F4-06A5291577F5}">
      <text>
        <r>
          <rPr>
            <sz val="9"/>
            <color indexed="81"/>
            <rFont val="Tahoma"/>
            <family val="2"/>
          </rPr>
          <t>Satisfactory performance in an</t>
        </r>
        <r>
          <rPr>
            <b/>
            <sz val="9"/>
            <color indexed="81"/>
            <rFont val="Tahoma"/>
            <family val="2"/>
          </rPr>
          <t xml:space="preserve"> audition</t>
        </r>
        <r>
          <rPr>
            <sz val="9"/>
            <color indexed="81"/>
            <rFont val="Tahoma"/>
            <family val="2"/>
          </rPr>
          <t xml:space="preserve"> is also required. 
Applicants who obtain </t>
        </r>
        <r>
          <rPr>
            <b/>
            <sz val="9"/>
            <color indexed="81"/>
            <rFont val="Tahoma"/>
            <family val="2"/>
          </rPr>
          <t>Level 4 or above in HKDSE Music</t>
        </r>
        <r>
          <rPr>
            <sz val="9"/>
            <color indexed="81"/>
            <rFont val="Tahoma"/>
            <family val="2"/>
          </rPr>
          <t xml:space="preserve"> will be exempted from the audition.
</t>
        </r>
      </text>
    </comment>
    <comment ref="E17" authorId="0" shapeId="0" xr:uid="{186A467A-5226-4CAF-B89F-2EA530E75D5C}">
      <text>
        <r>
          <rPr>
            <sz val="9"/>
            <color indexed="81"/>
            <rFont val="Tahoma"/>
            <family val="2"/>
          </rPr>
          <t xml:space="preserve">For BA(CAC) &amp; BEd(MU) (co-terminal double degree), preferred HKDSE subject with the </t>
        </r>
        <r>
          <rPr>
            <b/>
            <sz val="9"/>
            <color indexed="81"/>
            <rFont val="Tahoma"/>
            <family val="2"/>
          </rPr>
          <t xml:space="preserve">highest weighting </t>
        </r>
        <r>
          <rPr>
            <sz val="9"/>
            <color indexed="81"/>
            <rFont val="Tahoma"/>
            <family val="2"/>
          </rPr>
          <t xml:space="preserve">for admission score calculation is </t>
        </r>
        <r>
          <rPr>
            <b/>
            <sz val="9"/>
            <color indexed="81"/>
            <rFont val="Tahoma"/>
            <family val="2"/>
          </rPr>
          <t xml:space="preserve">Music. </t>
        </r>
        <r>
          <rPr>
            <sz val="9"/>
            <color indexed="81"/>
            <rFont val="Tahoma"/>
            <family val="2"/>
          </rPr>
          <t xml:space="preserve">
However, applicants not taking Music in the HKDSE examination will also be considered.</t>
        </r>
      </text>
    </comment>
    <comment ref="R17" authorId="0" shapeId="0" xr:uid="{82CBC8F2-E549-48E8-8135-F04373D4DDB1}">
      <text>
        <r>
          <rPr>
            <sz val="9"/>
            <color indexed="81"/>
            <rFont val="Tahoma"/>
            <family val="2"/>
          </rPr>
          <t xml:space="preserve">For BA(CAC) &amp; BEd(MU) (co-terminal double degree), preferred HKDSE subject with the </t>
        </r>
        <r>
          <rPr>
            <b/>
            <sz val="9"/>
            <color indexed="81"/>
            <rFont val="Tahoma"/>
            <family val="2"/>
          </rPr>
          <t>highest weighting</t>
        </r>
        <r>
          <rPr>
            <sz val="9"/>
            <color indexed="81"/>
            <rFont val="Tahoma"/>
            <family val="2"/>
          </rPr>
          <t xml:space="preserve"> for admission score calculation is </t>
        </r>
        <r>
          <rPr>
            <b/>
            <sz val="9"/>
            <color indexed="81"/>
            <rFont val="Tahoma"/>
            <family val="2"/>
          </rPr>
          <t xml:space="preserve">Music. </t>
        </r>
        <r>
          <rPr>
            <sz val="9"/>
            <color indexed="81"/>
            <rFont val="Tahoma"/>
            <family val="2"/>
          </rPr>
          <t xml:space="preserve">
However, applicants not taking Music in the HKDSE examination will also be considered.</t>
        </r>
      </text>
    </comment>
    <comment ref="C18" authorId="0" shapeId="0" xr:uid="{C029F7C5-69DA-477A-B8EE-6635DB41F539}">
      <text>
        <r>
          <rPr>
            <sz val="9"/>
            <color indexed="81"/>
            <rFont val="Tahoma"/>
            <family val="2"/>
          </rPr>
          <t xml:space="preserve">Satisfactory performance in a </t>
        </r>
        <r>
          <rPr>
            <b/>
            <sz val="9"/>
            <color indexed="81"/>
            <rFont val="Tahoma"/>
            <family val="2"/>
          </rPr>
          <t>practical test</t>
        </r>
        <r>
          <rPr>
            <sz val="9"/>
            <color indexed="81"/>
            <rFont val="Tahoma"/>
            <family val="2"/>
          </rPr>
          <t xml:space="preserve"> is also required. 
Applicants who obtain</t>
        </r>
        <r>
          <rPr>
            <b/>
            <sz val="9"/>
            <color indexed="81"/>
            <rFont val="Tahoma"/>
            <family val="2"/>
          </rPr>
          <t xml:space="preserve"> Level 4 or above</t>
        </r>
        <r>
          <rPr>
            <sz val="9"/>
            <color indexed="81"/>
            <rFont val="Tahoma"/>
            <family val="2"/>
          </rPr>
          <t xml:space="preserve"> in HKDSE </t>
        </r>
        <r>
          <rPr>
            <b/>
            <sz val="9"/>
            <color indexed="81"/>
            <rFont val="Tahoma"/>
            <family val="2"/>
          </rPr>
          <t>Visual Arts</t>
        </r>
        <r>
          <rPr>
            <sz val="9"/>
            <color indexed="81"/>
            <rFont val="Tahoma"/>
            <family val="2"/>
          </rPr>
          <t xml:space="preserve"> will be exempted from the practical test.</t>
        </r>
      </text>
    </comment>
    <comment ref="E18" authorId="0" shapeId="0" xr:uid="{D1E7B83C-65AA-4422-8513-0FBE482C630A}">
      <text>
        <r>
          <rPr>
            <sz val="9"/>
            <color indexed="81"/>
            <rFont val="Tahoma"/>
            <family val="2"/>
          </rPr>
          <t xml:space="preserve">For BA(CAC) &amp; BEd(VA) (co-terminal double degree), preferred HKDSE subject with the </t>
        </r>
        <r>
          <rPr>
            <b/>
            <sz val="9"/>
            <color indexed="81"/>
            <rFont val="Tahoma"/>
            <family val="2"/>
          </rPr>
          <t>highest weighting</t>
        </r>
        <r>
          <rPr>
            <sz val="9"/>
            <color indexed="81"/>
            <rFont val="Tahoma"/>
            <family val="2"/>
          </rPr>
          <t xml:space="preserve"> for admission score calculation is Visual Arts.</t>
        </r>
      </text>
    </comment>
    <comment ref="R18" authorId="0" shapeId="0" xr:uid="{15B9F95D-6606-420D-936D-2A73DFBCBCBF}">
      <text>
        <r>
          <rPr>
            <sz val="9"/>
            <color indexed="81"/>
            <rFont val="Tahoma"/>
            <family val="2"/>
          </rPr>
          <t xml:space="preserve">Satisfactory performance in a </t>
        </r>
        <r>
          <rPr>
            <b/>
            <sz val="9"/>
            <color indexed="81"/>
            <rFont val="Tahoma"/>
            <family val="2"/>
          </rPr>
          <t>practical test</t>
        </r>
        <r>
          <rPr>
            <sz val="9"/>
            <color indexed="81"/>
            <rFont val="Tahoma"/>
            <family val="2"/>
          </rPr>
          <t xml:space="preserve"> is also required. 
Applicants who obtain </t>
        </r>
        <r>
          <rPr>
            <b/>
            <sz val="9"/>
            <color indexed="81"/>
            <rFont val="Tahoma"/>
            <family val="2"/>
          </rPr>
          <t>Level 4 or above</t>
        </r>
        <r>
          <rPr>
            <sz val="9"/>
            <color indexed="81"/>
            <rFont val="Tahoma"/>
            <family val="2"/>
          </rPr>
          <t xml:space="preserve"> in HKDSE </t>
        </r>
        <r>
          <rPr>
            <b/>
            <sz val="9"/>
            <color indexed="81"/>
            <rFont val="Tahoma"/>
            <family val="2"/>
          </rPr>
          <t>Visual Arts</t>
        </r>
        <r>
          <rPr>
            <sz val="9"/>
            <color indexed="81"/>
            <rFont val="Tahoma"/>
            <family val="2"/>
          </rPr>
          <t xml:space="preserve"> will be exempted from the practical test.</t>
        </r>
      </text>
    </comment>
    <comment ref="E19" authorId="0" shapeId="0" xr:uid="{03CD2B02-3CD0-409A-867F-CEA6311BC5D2}">
      <text>
        <r>
          <rPr>
            <sz val="9"/>
            <color indexed="81"/>
            <rFont val="Tahoma"/>
            <family val="2"/>
          </rPr>
          <t xml:space="preserve">For BSocSc(Psy), preferred HKDSE subject with the </t>
        </r>
        <r>
          <rPr>
            <b/>
            <sz val="9"/>
            <color indexed="81"/>
            <rFont val="Tahoma"/>
            <family val="2"/>
          </rPr>
          <t>highest weighting</t>
        </r>
        <r>
          <rPr>
            <sz val="9"/>
            <color indexed="81"/>
            <rFont val="Tahoma"/>
            <family val="2"/>
          </rPr>
          <t xml:space="preserve"> for admission score calculation is </t>
        </r>
        <r>
          <rPr>
            <b/>
            <sz val="9"/>
            <color indexed="81"/>
            <rFont val="Tahoma"/>
            <family val="2"/>
          </rPr>
          <t>English Language.</t>
        </r>
      </text>
    </comment>
    <comment ref="C21" authorId="0" shapeId="0" xr:uid="{D8907B2B-C70E-456A-AE68-20C0520CFEB3}">
      <text>
        <r>
          <rPr>
            <sz val="9"/>
            <color indexed="81"/>
            <rFont val="Tahoma"/>
            <family val="2"/>
          </rPr>
          <t>Satisfactory performance in an</t>
        </r>
        <r>
          <rPr>
            <b/>
            <sz val="9"/>
            <color indexed="81"/>
            <rFont val="Tahoma"/>
            <family val="2"/>
          </rPr>
          <t xml:space="preserve"> audition</t>
        </r>
        <r>
          <rPr>
            <sz val="9"/>
            <color indexed="81"/>
            <rFont val="Tahoma"/>
            <family val="2"/>
          </rPr>
          <t xml:space="preserve"> is also required. 
Applicants who obtain </t>
        </r>
        <r>
          <rPr>
            <b/>
            <sz val="9"/>
            <color indexed="81"/>
            <rFont val="Tahoma"/>
            <family val="2"/>
          </rPr>
          <t>Level 4 or above</t>
        </r>
        <r>
          <rPr>
            <sz val="9"/>
            <color indexed="81"/>
            <rFont val="Tahoma"/>
            <family val="2"/>
          </rPr>
          <t xml:space="preserve"> in HKDSE </t>
        </r>
        <r>
          <rPr>
            <b/>
            <sz val="9"/>
            <color indexed="81"/>
            <rFont val="Tahoma"/>
            <family val="2"/>
          </rPr>
          <t>Music</t>
        </r>
        <r>
          <rPr>
            <sz val="9"/>
            <color indexed="81"/>
            <rFont val="Tahoma"/>
            <family val="2"/>
          </rPr>
          <t xml:space="preserve"> will be exempted from the audition.
</t>
        </r>
      </text>
    </comment>
    <comment ref="E21" authorId="0" shapeId="0" xr:uid="{332C1707-B435-43AA-AEE0-751CAF530DDF}">
      <text>
        <r>
          <rPr>
            <sz val="9"/>
            <color indexed="81"/>
            <rFont val="Tahoma"/>
            <family val="2"/>
          </rPr>
          <t xml:space="preserve">For BA(CAC) &amp; BEd(MU) (co-terminal double degree), preferred HKDSE subject with the </t>
        </r>
        <r>
          <rPr>
            <b/>
            <sz val="9"/>
            <color indexed="81"/>
            <rFont val="Tahoma"/>
            <family val="2"/>
          </rPr>
          <t xml:space="preserve">highest weighting </t>
        </r>
        <r>
          <rPr>
            <sz val="9"/>
            <color indexed="81"/>
            <rFont val="Tahoma"/>
            <family val="2"/>
          </rPr>
          <t xml:space="preserve">for admission score calculation is </t>
        </r>
        <r>
          <rPr>
            <b/>
            <sz val="9"/>
            <color indexed="81"/>
            <rFont val="Tahoma"/>
            <family val="2"/>
          </rPr>
          <t xml:space="preserve">Music. </t>
        </r>
        <r>
          <rPr>
            <sz val="9"/>
            <color indexed="81"/>
            <rFont val="Tahoma"/>
            <family val="2"/>
          </rPr>
          <t xml:space="preserve">
However, applicants not taking Music in the HKDSE examination will also be considered.</t>
        </r>
      </text>
    </comment>
    <comment ref="R21" authorId="0" shapeId="0" xr:uid="{C9D714EE-54FA-49BC-B8F9-A23A5ED1016F}">
      <text>
        <r>
          <rPr>
            <sz val="9"/>
            <color indexed="81"/>
            <rFont val="Tahoma"/>
            <family val="2"/>
          </rPr>
          <t xml:space="preserve">For BA(CAC) &amp; BEd(MU) (co-terminal double degree), preferred HKDSE subject with the </t>
        </r>
        <r>
          <rPr>
            <b/>
            <sz val="9"/>
            <color indexed="81"/>
            <rFont val="Tahoma"/>
            <family val="2"/>
          </rPr>
          <t>highest weighting</t>
        </r>
        <r>
          <rPr>
            <sz val="9"/>
            <color indexed="81"/>
            <rFont val="Tahoma"/>
            <family val="2"/>
          </rPr>
          <t xml:space="preserve"> for admission score calculation is </t>
        </r>
        <r>
          <rPr>
            <b/>
            <sz val="9"/>
            <color indexed="81"/>
            <rFont val="Tahoma"/>
            <family val="2"/>
          </rPr>
          <t xml:space="preserve">Music. </t>
        </r>
        <r>
          <rPr>
            <sz val="9"/>
            <color indexed="81"/>
            <rFont val="Tahoma"/>
            <family val="2"/>
          </rPr>
          <t xml:space="preserve">
However, applicants not taking Music in the HKDSE examination will also be considered.</t>
        </r>
      </text>
    </comment>
    <comment ref="C22" authorId="0" shapeId="0" xr:uid="{C472D350-CEB7-40F8-B43B-2D546092897F}">
      <text>
        <r>
          <rPr>
            <sz val="9"/>
            <color indexed="81"/>
            <rFont val="Tahoma"/>
            <family val="2"/>
          </rPr>
          <t>Satisfactory performance in a</t>
        </r>
        <r>
          <rPr>
            <b/>
            <sz val="9"/>
            <color indexed="81"/>
            <rFont val="Tahoma"/>
            <family val="2"/>
          </rPr>
          <t xml:space="preserve"> practical test</t>
        </r>
        <r>
          <rPr>
            <sz val="9"/>
            <color indexed="81"/>
            <rFont val="Tahoma"/>
            <family val="2"/>
          </rPr>
          <t xml:space="preserve"> is also required. 
Applicants who obtain </t>
        </r>
        <r>
          <rPr>
            <b/>
            <sz val="9"/>
            <color indexed="81"/>
            <rFont val="Tahoma"/>
            <family val="2"/>
          </rPr>
          <t>Level 4 or above</t>
        </r>
        <r>
          <rPr>
            <sz val="9"/>
            <color indexed="81"/>
            <rFont val="Tahoma"/>
            <family val="2"/>
          </rPr>
          <t xml:space="preserve"> in HKDSE </t>
        </r>
        <r>
          <rPr>
            <b/>
            <sz val="9"/>
            <color indexed="81"/>
            <rFont val="Tahoma"/>
            <family val="2"/>
          </rPr>
          <t>Visual Arts</t>
        </r>
        <r>
          <rPr>
            <sz val="9"/>
            <color indexed="81"/>
            <rFont val="Tahoma"/>
            <family val="2"/>
          </rPr>
          <t xml:space="preserve"> will be exempted from the practical test.</t>
        </r>
      </text>
    </comment>
    <comment ref="E22" authorId="0" shapeId="0" xr:uid="{2FA6EB17-6D15-4635-BC41-6E9F4F4CD7F7}">
      <text>
        <r>
          <rPr>
            <sz val="9"/>
            <color indexed="81"/>
            <rFont val="Tahoma"/>
            <family val="2"/>
          </rPr>
          <t xml:space="preserve">For BSocSc(Psy), preferred HKDSE subject with the </t>
        </r>
        <r>
          <rPr>
            <b/>
            <sz val="9"/>
            <color indexed="81"/>
            <rFont val="Tahoma"/>
            <family val="2"/>
          </rPr>
          <t>highest weighting</t>
        </r>
        <r>
          <rPr>
            <sz val="9"/>
            <color indexed="81"/>
            <rFont val="Tahoma"/>
            <family val="2"/>
          </rPr>
          <t xml:space="preserve"> for admission score calculation is </t>
        </r>
        <r>
          <rPr>
            <b/>
            <sz val="9"/>
            <color indexed="81"/>
            <rFont val="Tahoma"/>
            <family val="2"/>
          </rPr>
          <t>English Language.</t>
        </r>
      </text>
    </comment>
    <comment ref="R22" authorId="0" shapeId="0" xr:uid="{A1725F0B-77F6-4272-9B0F-56DE21A37225}">
      <text>
        <r>
          <rPr>
            <sz val="9"/>
            <color indexed="81"/>
            <rFont val="Tahoma"/>
            <family val="2"/>
          </rPr>
          <t xml:space="preserve">Satisfactory performance in a </t>
        </r>
        <r>
          <rPr>
            <b/>
            <sz val="9"/>
            <color indexed="81"/>
            <rFont val="Tahoma"/>
            <family val="2"/>
          </rPr>
          <t>practical test</t>
        </r>
        <r>
          <rPr>
            <sz val="9"/>
            <color indexed="81"/>
            <rFont val="Tahoma"/>
            <family val="2"/>
          </rPr>
          <t xml:space="preserve"> is also required. 
Applicants who obtain </t>
        </r>
        <r>
          <rPr>
            <b/>
            <sz val="9"/>
            <color indexed="81"/>
            <rFont val="Tahoma"/>
            <family val="2"/>
          </rPr>
          <t>Level 4 or above</t>
        </r>
        <r>
          <rPr>
            <sz val="9"/>
            <color indexed="81"/>
            <rFont val="Tahoma"/>
            <family val="2"/>
          </rPr>
          <t xml:space="preserve"> in HKDSE </t>
        </r>
        <r>
          <rPr>
            <b/>
            <sz val="9"/>
            <color indexed="81"/>
            <rFont val="Tahoma"/>
            <family val="2"/>
          </rPr>
          <t>Visual Arts</t>
        </r>
        <r>
          <rPr>
            <sz val="9"/>
            <color indexed="81"/>
            <rFont val="Tahoma"/>
            <family val="2"/>
          </rPr>
          <t xml:space="preserve"> will be exempted from the practical test.</t>
        </r>
      </text>
    </comment>
    <comment ref="P24" authorId="0" shapeId="0" xr:uid="{78D11945-1849-4941-88BC-56C07A2EBB7C}">
      <text>
        <r>
          <rPr>
            <b/>
            <sz val="9"/>
            <color indexed="81"/>
            <rFont val="Tahoma"/>
            <family val="2"/>
          </rPr>
          <t>Any Best 3 Subjects</t>
        </r>
      </text>
    </comment>
    <comment ref="Q24" authorId="0" shapeId="0" xr:uid="{B361054C-DC62-4E62-A89B-596B8B60CF53}">
      <text>
        <r>
          <rPr>
            <b/>
            <sz val="9"/>
            <color indexed="81"/>
            <rFont val="Tahoma"/>
            <family val="2"/>
          </rPr>
          <t>Any Best 3 Subjects</t>
        </r>
      </text>
    </comment>
    <comment ref="R24" authorId="0" shapeId="0" xr:uid="{D7D50A91-1F8D-4989-8ACB-7D02EB9D2AF2}">
      <text>
        <r>
          <rPr>
            <b/>
            <sz val="9"/>
            <color indexed="81"/>
            <rFont val="Tahoma"/>
            <family val="2"/>
          </rPr>
          <t>Any Best 3 Subjects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Michael Chan</author>
  </authors>
  <commentList>
    <comment ref="E9" authorId="0" shapeId="0" xr:uid="{758DE7B6-F698-4342-B998-2BB9FF403401}">
      <text>
        <r>
          <rPr>
            <b/>
            <sz val="9"/>
            <color indexed="81"/>
            <rFont val="細明體"/>
            <family val="3"/>
            <charset val="136"/>
          </rPr>
          <t>中文</t>
        </r>
        <r>
          <rPr>
            <b/>
            <sz val="9"/>
            <color indexed="81"/>
            <rFont val="Tahoma"/>
            <family val="2"/>
          </rPr>
          <t>x2</t>
        </r>
        <r>
          <rPr>
            <sz val="9"/>
            <color indexed="81"/>
            <rFont val="Tahoma"/>
            <family val="2"/>
          </rPr>
          <t xml:space="preserve">
</t>
        </r>
      </text>
    </comment>
    <comment ref="E10" authorId="0" shapeId="0" xr:uid="{9AE16D86-944B-4E28-AB66-B7EC71E28E15}">
      <text>
        <r>
          <rPr>
            <b/>
            <sz val="9"/>
            <color indexed="81"/>
            <rFont val="細明體"/>
            <family val="3"/>
            <charset val="136"/>
          </rPr>
          <t>中文、英文</t>
        </r>
        <r>
          <rPr>
            <b/>
            <sz val="9"/>
            <color indexed="81"/>
            <rFont val="Tahoma"/>
            <family val="2"/>
          </rPr>
          <t xml:space="preserve"> x1.5
</t>
        </r>
      </text>
    </comment>
    <comment ref="E11" authorId="0" shapeId="0" xr:uid="{34E8B227-77ED-4B4E-854E-B40131042393}">
      <text>
        <r>
          <rPr>
            <b/>
            <sz val="9"/>
            <color indexed="81"/>
            <rFont val="細明體"/>
            <family val="3"/>
            <charset val="136"/>
          </rPr>
          <t>中文、英文</t>
        </r>
        <r>
          <rPr>
            <b/>
            <sz val="9"/>
            <color indexed="81"/>
            <rFont val="Tahoma"/>
            <family val="2"/>
          </rPr>
          <t xml:space="preserve"> x1.5</t>
        </r>
      </text>
    </comment>
    <comment ref="E24" authorId="0" shapeId="0" xr:uid="{692BC336-BC09-4D54-A4FF-C75122C0FA53}">
      <text>
        <r>
          <rPr>
            <b/>
            <sz val="9"/>
            <color indexed="81"/>
            <rFont val="細明體"/>
            <family val="3"/>
            <charset val="136"/>
          </rPr>
          <t>英文</t>
        </r>
        <r>
          <rPr>
            <b/>
            <sz val="9"/>
            <color indexed="81"/>
            <rFont val="Tahoma"/>
            <family val="2"/>
          </rPr>
          <t xml:space="preserve"> x2</t>
        </r>
        <r>
          <rPr>
            <sz val="9"/>
            <color indexed="81"/>
            <rFont val="Tahoma"/>
            <family val="2"/>
          </rPr>
          <t xml:space="preserve">
</t>
        </r>
      </text>
    </comment>
    <comment ref="E25" authorId="0" shapeId="0" xr:uid="{924E1673-4AAD-4A14-AF3E-1A5D6D54E4A2}">
      <text>
        <r>
          <rPr>
            <b/>
            <sz val="9"/>
            <color indexed="81"/>
            <rFont val="細明體"/>
            <family val="3"/>
            <charset val="136"/>
          </rPr>
          <t>英文</t>
        </r>
        <r>
          <rPr>
            <b/>
            <sz val="9"/>
            <color indexed="81"/>
            <rFont val="Tahoma"/>
            <family val="2"/>
          </rPr>
          <t xml:space="preserve"> x2
</t>
        </r>
      </text>
    </comment>
    <comment ref="E26" authorId="0" shapeId="0" xr:uid="{2F4AF71B-D322-4AF2-827E-3EF7BDB17A8D}">
      <text>
        <r>
          <rPr>
            <b/>
            <sz val="9"/>
            <color indexed="81"/>
            <rFont val="細明體"/>
            <family val="3"/>
            <charset val="136"/>
          </rPr>
          <t>中文、中國文學</t>
        </r>
        <r>
          <rPr>
            <b/>
            <sz val="9"/>
            <color indexed="81"/>
            <rFont val="Tahoma"/>
            <family val="2"/>
          </rPr>
          <t xml:space="preserve"> x2</t>
        </r>
        <r>
          <rPr>
            <sz val="9"/>
            <color indexed="81"/>
            <rFont val="Tahoma"/>
            <family val="2"/>
          </rPr>
          <t xml:space="preserve">
</t>
        </r>
      </text>
    </comment>
    <comment ref="E27" authorId="0" shapeId="0" xr:uid="{33463B85-DA66-4A54-B432-2E0D2406DAD7}">
      <text>
        <r>
          <rPr>
            <b/>
            <sz val="9"/>
            <color indexed="81"/>
            <rFont val="細明體"/>
            <family val="3"/>
            <charset val="136"/>
          </rPr>
          <t>中文、中國文學</t>
        </r>
        <r>
          <rPr>
            <b/>
            <sz val="9"/>
            <color indexed="81"/>
            <rFont val="Tahoma"/>
            <family val="2"/>
          </rPr>
          <t xml:space="preserve"> x2</t>
        </r>
        <r>
          <rPr>
            <sz val="9"/>
            <color indexed="81"/>
            <rFont val="Tahoma"/>
            <family val="2"/>
          </rPr>
          <t xml:space="preserve">
</t>
        </r>
      </text>
    </comment>
    <comment ref="E35" authorId="0" shapeId="0" xr:uid="{7717FE59-9A52-4189-B2D7-B8B6B0DF840A}">
      <text>
        <r>
          <rPr>
            <b/>
            <sz val="9"/>
            <color indexed="81"/>
            <rFont val="細明體"/>
            <family val="3"/>
            <charset val="136"/>
          </rPr>
          <t>優先考慮理科科目
中文、英文、生物、物理、組合科學</t>
        </r>
        <r>
          <rPr>
            <b/>
            <sz val="9"/>
            <color indexed="81"/>
            <rFont val="Tahoma"/>
            <family val="2"/>
          </rPr>
          <t>(</t>
        </r>
        <r>
          <rPr>
            <b/>
            <sz val="9"/>
            <color indexed="81"/>
            <rFont val="細明體"/>
            <family val="3"/>
            <charset val="136"/>
          </rPr>
          <t>生物、物理</t>
        </r>
        <r>
          <rPr>
            <b/>
            <sz val="9"/>
            <color indexed="81"/>
            <rFont val="Tahoma"/>
            <family val="2"/>
          </rPr>
          <t>) x2</t>
        </r>
        <r>
          <rPr>
            <sz val="9"/>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Michael Chan</author>
  </authors>
  <commentList>
    <comment ref="E7" authorId="0" shapeId="0" xr:uid="{48E551E2-4D5B-4252-8212-26B4D9C7E9AF}">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BAFS</t>
        </r>
        <r>
          <rPr>
            <sz val="9"/>
            <color indexed="81"/>
            <rFont val="細明體"/>
            <family val="3"/>
            <charset val="136"/>
          </rPr>
          <t>、經濟、地理、</t>
        </r>
        <r>
          <rPr>
            <sz val="9"/>
            <color indexed="81"/>
            <rFont val="Tahoma"/>
            <family val="2"/>
          </rPr>
          <t>ICT</t>
        </r>
        <r>
          <rPr>
            <sz val="9"/>
            <color indexed="81"/>
            <rFont val="細明體"/>
            <family val="3"/>
            <charset val="136"/>
          </rPr>
          <t>、物理、</t>
        </r>
        <r>
          <rPr>
            <sz val="9"/>
            <color indexed="81"/>
            <rFont val="Tahoma"/>
            <family val="2"/>
          </rPr>
          <t>M1/2</t>
        </r>
        <r>
          <rPr>
            <sz val="9"/>
            <color indexed="81"/>
            <rFont val="細明體"/>
            <family val="3"/>
            <charset val="136"/>
          </rPr>
          <t xml:space="preserve">
</t>
        </r>
        <r>
          <rPr>
            <b/>
            <sz val="9"/>
            <color indexed="81"/>
            <rFont val="細明體"/>
            <family val="3"/>
            <charset val="136"/>
          </rPr>
          <t>較高比重</t>
        </r>
        <r>
          <rPr>
            <b/>
            <sz val="9"/>
            <color indexed="81"/>
            <rFont val="Tahoma"/>
            <family val="2"/>
          </rPr>
          <t xml:space="preserve">:
</t>
        </r>
        <r>
          <rPr>
            <sz val="9"/>
            <color indexed="81"/>
            <rFont val="細明體"/>
            <family val="3"/>
            <charset val="136"/>
          </rPr>
          <t>中文、通識、化學、生物、組合科學、綜合科學</t>
        </r>
        <r>
          <rPr>
            <sz val="9"/>
            <color indexed="81"/>
            <rFont val="Tahoma"/>
            <family val="2"/>
          </rPr>
          <t xml:space="preserve">
</t>
        </r>
      </text>
    </comment>
    <comment ref="E8" authorId="0" shapeId="0" xr:uid="{5C25EF2F-8ADA-400A-9E80-9BC7A03A8441}">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BAFS</t>
        </r>
        <r>
          <rPr>
            <sz val="9"/>
            <color indexed="81"/>
            <rFont val="細明體"/>
            <family val="3"/>
            <charset val="136"/>
          </rPr>
          <t>、經濟、物理、</t>
        </r>
        <r>
          <rPr>
            <sz val="9"/>
            <color indexed="81"/>
            <rFont val="Tahoma"/>
            <family val="2"/>
          </rPr>
          <t>M1/2</t>
        </r>
        <r>
          <rPr>
            <sz val="9"/>
            <color indexed="81"/>
            <rFont val="細明體"/>
            <family val="3"/>
            <charset val="136"/>
          </rPr>
          <t xml:space="preserve">
</t>
        </r>
        <r>
          <rPr>
            <b/>
            <sz val="9"/>
            <color indexed="81"/>
            <rFont val="細明體"/>
            <family val="3"/>
            <charset val="136"/>
          </rPr>
          <t>較高比重</t>
        </r>
        <r>
          <rPr>
            <b/>
            <sz val="9"/>
            <color indexed="81"/>
            <rFont val="Tahoma"/>
            <family val="2"/>
          </rPr>
          <t xml:space="preserve">:
</t>
        </r>
        <r>
          <rPr>
            <sz val="9"/>
            <color indexed="81"/>
            <rFont val="細明體"/>
            <family val="3"/>
            <charset val="136"/>
          </rPr>
          <t>中文、通識、化學、生物、組合科學、綜合科學、</t>
        </r>
        <r>
          <rPr>
            <sz val="9"/>
            <color indexed="81"/>
            <rFont val="Tahoma"/>
            <family val="2"/>
          </rPr>
          <t xml:space="preserve">ICT
</t>
        </r>
      </text>
    </comment>
    <comment ref="E10" authorId="0" shapeId="0" xr:uid="{AE118E8D-3AC1-44EC-BB4E-B8E626CF9DDC}">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BAFS</t>
        </r>
        <r>
          <rPr>
            <sz val="9"/>
            <color indexed="81"/>
            <rFont val="細明體"/>
            <family val="3"/>
            <charset val="136"/>
          </rPr>
          <t>、經濟、</t>
        </r>
        <r>
          <rPr>
            <sz val="9"/>
            <color indexed="81"/>
            <rFont val="Tahoma"/>
            <family val="2"/>
          </rPr>
          <t>ICT</t>
        </r>
        <r>
          <rPr>
            <sz val="9"/>
            <color indexed="81"/>
            <rFont val="細明體"/>
            <family val="3"/>
            <charset val="136"/>
          </rPr>
          <t>、</t>
        </r>
        <r>
          <rPr>
            <sz val="9"/>
            <color indexed="81"/>
            <rFont val="Tahoma"/>
            <family val="2"/>
          </rPr>
          <t>M1/2</t>
        </r>
        <r>
          <rPr>
            <sz val="9"/>
            <color indexed="81"/>
            <rFont val="細明體"/>
            <family val="3"/>
            <charset val="136"/>
          </rPr>
          <t xml:space="preserve">
</t>
        </r>
        <r>
          <rPr>
            <b/>
            <sz val="9"/>
            <color indexed="81"/>
            <rFont val="細明體"/>
            <family val="3"/>
            <charset val="136"/>
          </rPr>
          <t>較高比重</t>
        </r>
        <r>
          <rPr>
            <b/>
            <sz val="9"/>
            <color indexed="81"/>
            <rFont val="Tahoma"/>
            <family val="2"/>
          </rPr>
          <t xml:space="preserve">:
</t>
        </r>
        <r>
          <rPr>
            <sz val="9"/>
            <color indexed="81"/>
            <rFont val="細明體"/>
            <family val="3"/>
            <charset val="136"/>
          </rPr>
          <t>中文、通識、化學、生物、物理、組合科學、綜合科學</t>
        </r>
        <r>
          <rPr>
            <sz val="9"/>
            <color indexed="81"/>
            <rFont val="Tahoma"/>
            <family val="2"/>
          </rPr>
          <t xml:space="preserve">
</t>
        </r>
      </text>
    </comment>
    <comment ref="E11" authorId="0" shapeId="0" xr:uid="{19E86D9B-25FA-47A0-842A-4CA6E2F5F4C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BAFS</t>
        </r>
        <r>
          <rPr>
            <sz val="9"/>
            <color indexed="81"/>
            <rFont val="細明體"/>
            <family val="3"/>
            <charset val="136"/>
          </rPr>
          <t>、經濟、地理、</t>
        </r>
        <r>
          <rPr>
            <sz val="9"/>
            <color indexed="81"/>
            <rFont val="Tahoma"/>
            <family val="2"/>
          </rPr>
          <t>ICT</t>
        </r>
        <r>
          <rPr>
            <sz val="9"/>
            <color indexed="81"/>
            <rFont val="細明體"/>
            <family val="3"/>
            <charset val="136"/>
          </rPr>
          <t>、物理、</t>
        </r>
        <r>
          <rPr>
            <sz val="9"/>
            <color indexed="81"/>
            <rFont val="Tahoma"/>
            <family val="2"/>
          </rPr>
          <t>M1/2</t>
        </r>
        <r>
          <rPr>
            <sz val="9"/>
            <color indexed="81"/>
            <rFont val="細明體"/>
            <family val="3"/>
            <charset val="136"/>
          </rPr>
          <t xml:space="preserve">
</t>
        </r>
        <r>
          <rPr>
            <b/>
            <sz val="9"/>
            <color indexed="81"/>
            <rFont val="細明體"/>
            <family val="3"/>
            <charset val="136"/>
          </rPr>
          <t>較高比重</t>
        </r>
        <r>
          <rPr>
            <b/>
            <sz val="9"/>
            <color indexed="81"/>
            <rFont val="Tahoma"/>
            <family val="2"/>
          </rPr>
          <t xml:space="preserve">:
</t>
        </r>
        <r>
          <rPr>
            <sz val="9"/>
            <color indexed="81"/>
            <rFont val="細明體"/>
            <family val="3"/>
            <charset val="136"/>
          </rPr>
          <t>中文、通識、化學、生物、組合科學、綜合科學</t>
        </r>
        <r>
          <rPr>
            <sz val="9"/>
            <color indexed="81"/>
            <rFont val="Tahoma"/>
            <family val="2"/>
          </rPr>
          <t xml:space="preserve">
</t>
        </r>
      </text>
    </comment>
    <comment ref="E17" authorId="0" shapeId="0" xr:uid="{43181643-F345-4F31-A54D-401EB25EA085}">
      <text>
        <r>
          <rPr>
            <b/>
            <sz val="9"/>
            <color indexed="81"/>
            <rFont val="細明體"/>
            <family val="3"/>
            <charset val="136"/>
          </rPr>
          <t>中文、英文</t>
        </r>
        <r>
          <rPr>
            <b/>
            <sz val="9"/>
            <color indexed="81"/>
            <rFont val="Tahoma"/>
            <family val="2"/>
          </rPr>
          <t xml:space="preserve"> x1.5
</t>
        </r>
      </text>
    </comment>
    <comment ref="E19" authorId="0" shapeId="0" xr:uid="{829CC439-3143-48F9-B898-FDBB2F3CC988}">
      <text>
        <r>
          <rPr>
            <b/>
            <sz val="9"/>
            <color indexed="81"/>
            <rFont val="細明體"/>
            <family val="3"/>
            <charset val="136"/>
          </rPr>
          <t>中文、英文</t>
        </r>
        <r>
          <rPr>
            <b/>
            <sz val="9"/>
            <color indexed="81"/>
            <rFont val="Tahoma"/>
            <family val="2"/>
          </rPr>
          <t xml:space="preserve"> x1.5
</t>
        </r>
      </text>
    </comment>
    <comment ref="E20" authorId="0" shapeId="0" xr:uid="{DCC54AAB-037C-4D09-A5EF-814212B0DD42}">
      <text>
        <r>
          <rPr>
            <b/>
            <sz val="9"/>
            <color indexed="81"/>
            <rFont val="細明體"/>
            <family val="3"/>
            <charset val="136"/>
          </rPr>
          <t>生物、化學、物理、組合科學、綜合科學、</t>
        </r>
        <r>
          <rPr>
            <b/>
            <sz val="9"/>
            <color indexed="81"/>
            <rFont val="Tahoma"/>
            <family val="2"/>
          </rPr>
          <t>HMSC x1.2</t>
        </r>
      </text>
    </comment>
    <comment ref="E21" authorId="0" shapeId="0" xr:uid="{EA6AEF83-6ECF-4681-9EA1-E83FC84A720F}">
      <text>
        <r>
          <rPr>
            <b/>
            <sz val="9"/>
            <color indexed="81"/>
            <rFont val="細明體"/>
            <family val="3"/>
            <charset val="136"/>
          </rPr>
          <t>生物、化學、物理、組合科學、綜合科學、</t>
        </r>
        <r>
          <rPr>
            <b/>
            <sz val="9"/>
            <color indexed="81"/>
            <rFont val="Tahoma"/>
            <family val="2"/>
          </rPr>
          <t>HMSC x1.2</t>
        </r>
      </text>
    </comment>
    <comment ref="E36" authorId="0" shapeId="0" xr:uid="{1D8FCE62-4EAC-465F-A269-9B16AA508430}">
      <text>
        <r>
          <rPr>
            <b/>
            <sz val="9"/>
            <color indexed="81"/>
            <rFont val="細明體"/>
            <family val="3"/>
            <charset val="136"/>
          </rPr>
          <t>體育</t>
        </r>
        <r>
          <rPr>
            <b/>
            <sz val="9"/>
            <color indexed="81"/>
            <rFont val="Tahoma"/>
            <family val="2"/>
          </rPr>
          <t>x2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Chan</author>
    <author>Michael</author>
  </authors>
  <commentList>
    <comment ref="D21" authorId="0" shapeId="0" xr:uid="{283D661F-841A-46A3-A600-45B451E60620}">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
Consideration of both Category A and C subjects, in
which </t>
        </r>
        <r>
          <rPr>
            <b/>
            <sz val="9"/>
            <color indexed="81"/>
            <rFont val="Tahoma"/>
            <family val="2"/>
          </rPr>
          <t>M1/M2 can be included</t>
        </r>
        <r>
          <rPr>
            <sz val="9"/>
            <color indexed="81"/>
            <rFont val="Tahoma"/>
            <family val="2"/>
          </rPr>
          <t xml:space="preserve"> as an elective.</t>
        </r>
      </text>
    </comment>
    <comment ref="D22" authorId="1" shapeId="0" xr:uid="{B1AF3CE1-CF73-48B6-80CF-43B092995C24}">
      <text>
        <r>
          <rPr>
            <sz val="9"/>
            <color indexed="81"/>
            <rFont val="Tahoma"/>
            <family val="2"/>
          </rPr>
          <t xml:space="preserve">Consideration of both Category A and C subjects, </t>
        </r>
        <r>
          <rPr>
            <b/>
            <sz val="9"/>
            <color indexed="81"/>
            <rFont val="Tahoma"/>
            <family val="2"/>
          </rPr>
          <t>excluding M1/M2.</t>
        </r>
      </text>
    </comment>
    <comment ref="D23" authorId="1" shapeId="0" xr:uid="{6D7E99B4-FF16-4EAC-A647-C1DBDCD29F84}">
      <text>
        <r>
          <rPr>
            <sz val="9"/>
            <color indexed="81"/>
            <rFont val="Tahoma"/>
            <family val="2"/>
          </rPr>
          <t>Consideration of both Category A and C subjects,</t>
        </r>
        <r>
          <rPr>
            <b/>
            <sz val="9"/>
            <color indexed="81"/>
            <rFont val="Tahoma"/>
            <family val="2"/>
          </rPr>
          <t xml:space="preserve"> excluding M1/M2.</t>
        </r>
      </text>
    </comment>
    <comment ref="D24" authorId="1" shapeId="0" xr:uid="{BAF4E08A-A645-4167-93AF-6E2D9D1BD4A3}">
      <text>
        <r>
          <rPr>
            <sz val="9"/>
            <color indexed="81"/>
            <rFont val="Tahoma"/>
            <family val="2"/>
          </rPr>
          <t xml:space="preserve">Consideration of both Category A and C subjects, </t>
        </r>
        <r>
          <rPr>
            <b/>
            <sz val="9"/>
            <color indexed="81"/>
            <rFont val="Tahoma"/>
            <family val="2"/>
          </rPr>
          <t xml:space="preserve">excluding M1/M2.
</t>
        </r>
      </text>
    </comment>
    <comment ref="D25" authorId="1" shapeId="0" xr:uid="{37D666F2-437F-4B1C-BA07-A9E3FC8BA22D}">
      <text>
        <r>
          <rPr>
            <sz val="9"/>
            <color indexed="81"/>
            <rFont val="Tahoma"/>
            <family val="2"/>
          </rPr>
          <t xml:space="preserve">Consideration of both Category A and C subjects, </t>
        </r>
        <r>
          <rPr>
            <b/>
            <sz val="9"/>
            <color indexed="81"/>
            <rFont val="Tahoma"/>
            <family val="2"/>
          </rPr>
          <t xml:space="preserve">excluding M1/M2.
</t>
        </r>
      </text>
    </comment>
    <comment ref="D26" authorId="1" shapeId="0" xr:uid="{B1956A51-B652-4240-B88E-1BCF2731E05B}">
      <text>
        <r>
          <rPr>
            <sz val="9"/>
            <color indexed="81"/>
            <rFont val="Tahoma"/>
            <family val="2"/>
          </rPr>
          <t xml:space="preserve">Consideration of both Category A and C subjects, </t>
        </r>
        <r>
          <rPr>
            <b/>
            <sz val="9"/>
            <color indexed="81"/>
            <rFont val="Tahoma"/>
            <family val="2"/>
          </rPr>
          <t xml:space="preserve">excluding M1/M2.
</t>
        </r>
        <r>
          <rPr>
            <sz val="9"/>
            <color indexed="81"/>
            <rFont val="Tahoma"/>
            <family val="2"/>
          </rPr>
          <t xml:space="preserve">
The best 5 subjects must </t>
        </r>
        <r>
          <rPr>
            <b/>
            <sz val="9"/>
            <color indexed="81"/>
            <rFont val="Tahoma"/>
            <family val="2"/>
          </rPr>
          <t>include English Language</t>
        </r>
        <r>
          <rPr>
            <sz val="9"/>
            <color indexed="81"/>
            <rFont val="Tahoma"/>
            <family val="2"/>
          </rPr>
          <t xml:space="preserve">
</t>
        </r>
      </text>
    </comment>
    <comment ref="D27" authorId="1" shapeId="0" xr:uid="{E670CA39-AC6C-4B05-8CF3-72916E0BAA97}">
      <text>
        <r>
          <rPr>
            <sz val="9"/>
            <color indexed="81"/>
            <rFont val="Tahoma"/>
            <family val="2"/>
          </rPr>
          <t xml:space="preserve">Must </t>
        </r>
        <r>
          <rPr>
            <b/>
            <sz val="9"/>
            <color indexed="81"/>
            <rFont val="Tahoma"/>
            <family val="2"/>
          </rPr>
          <t>include English Language, Mathematics</t>
        </r>
        <r>
          <rPr>
            <sz val="9"/>
            <color indexed="81"/>
            <rFont val="Tahoma"/>
            <family val="2"/>
          </rPr>
          <t xml:space="preserve">
</t>
        </r>
        <r>
          <rPr>
            <b/>
            <sz val="9"/>
            <color indexed="81"/>
            <rFont val="Tahoma"/>
            <family val="2"/>
          </rPr>
          <t>English Language, Mathematics</t>
        </r>
        <r>
          <rPr>
            <sz val="9"/>
            <color indexed="81"/>
            <rFont val="Tahoma"/>
            <family val="2"/>
          </rPr>
          <t xml:space="preserve"> with heavier weighting.
</t>
        </r>
      </text>
    </comment>
    <comment ref="D28" authorId="0" shapeId="0" xr:uid="{B3DF1C17-9B0D-46DD-8956-9B6EF81155F7}">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The best 6 subjects must include English Language, Mathematics.
M1/M2 can be included in lieu of Mathematics.
Weighting: English Language, Mathematics, M1/M2
</t>
        </r>
      </text>
    </comment>
    <comment ref="D29" authorId="0" shapeId="0" xr:uid="{77B75A56-85F1-4971-801A-DAC4A8F6BE1E}">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The best 6 subjects must include English Language, Mathematics
M1/M2 can be included.
Weighting: English Language, Mathematics</t>
        </r>
      </text>
    </comment>
    <comment ref="D30" authorId="0" shapeId="0" xr:uid="{F5E2D45D-9A91-428A-BFBB-749960557BEB}">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The best 6 subjects must include English Language, Mathematics
M1/M2 can be included.
Weighting: English Language, Mathematics
</t>
        </r>
      </text>
    </comment>
    <comment ref="D31" authorId="1" shapeId="0" xr:uid="{C22B4550-EEF9-4394-9CA4-98326D91E174}">
      <text>
        <r>
          <rPr>
            <sz val="9"/>
            <color indexed="81"/>
            <rFont val="Tahoma"/>
            <family val="2"/>
          </rPr>
          <t xml:space="preserve">The best 6 subjects must include </t>
        </r>
        <r>
          <rPr>
            <b/>
            <sz val="9"/>
            <color indexed="81"/>
            <rFont val="Tahoma"/>
            <family val="2"/>
          </rPr>
          <t>English Language, Mathematics</t>
        </r>
        <r>
          <rPr>
            <sz val="9"/>
            <color indexed="81"/>
            <rFont val="Tahoma"/>
            <family val="2"/>
          </rPr>
          <t xml:space="preserve">,
plus the best four among the remaining subjects.
</t>
        </r>
        <r>
          <rPr>
            <b/>
            <sz val="9"/>
            <color indexed="81"/>
            <rFont val="Tahoma"/>
            <family val="2"/>
          </rPr>
          <t>M1/M2 can be included in lieu of Mathematics.</t>
        </r>
        <r>
          <rPr>
            <sz val="9"/>
            <color indexed="81"/>
            <rFont val="Tahoma"/>
            <family val="2"/>
          </rPr>
          <t xml:space="preserve">
</t>
        </r>
      </text>
    </comment>
    <comment ref="D32" authorId="1" shapeId="0" xr:uid="{7C53BDE8-53F0-454D-8B15-AEF78996D015}">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plus the best three among the remaining subjects.
</t>
        </r>
        <r>
          <rPr>
            <sz val="9"/>
            <color indexed="81"/>
            <rFont val="細明體"/>
            <family val="3"/>
            <charset val="136"/>
          </rPr>
          <t>最高比重</t>
        </r>
        <r>
          <rPr>
            <sz val="9"/>
            <color indexed="81"/>
            <rFont val="Tahoma"/>
            <family val="2"/>
          </rPr>
          <t xml:space="preserve">: English Language
</t>
        </r>
        <r>
          <rPr>
            <sz val="9"/>
            <color indexed="81"/>
            <rFont val="細明體"/>
            <family val="3"/>
            <charset val="136"/>
          </rPr>
          <t>較高比重</t>
        </r>
        <r>
          <rPr>
            <sz val="9"/>
            <color indexed="81"/>
            <rFont val="Tahoma"/>
            <family val="2"/>
          </rPr>
          <t>: Mathematics, M1/M2</t>
        </r>
      </text>
    </comment>
    <comment ref="D33" authorId="1" shapeId="0" xr:uid="{09CABA04-0DD4-4C45-BB89-A6E5370F6F95}">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The best 6 subjects must include English Language, Mathematics
M1/M2 can be included.
Weighting: English Language, Mathematics
</t>
        </r>
      </text>
    </comment>
    <comment ref="D34" authorId="1" shapeId="0" xr:uid="{614EA709-3126-43CD-AF66-3D9507AD6DC6}">
      <text>
        <r>
          <rPr>
            <sz val="9"/>
            <color indexed="81"/>
            <rFont val="Tahoma"/>
            <family val="2"/>
          </rPr>
          <t xml:space="preserve">The bes t 6 subjects must include a </t>
        </r>
        <r>
          <rPr>
            <b/>
            <sz val="9"/>
            <color indexed="81"/>
            <rFont val="Tahoma"/>
            <family val="2"/>
          </rPr>
          <t>Science elective</t>
        </r>
        <r>
          <rPr>
            <sz val="9"/>
            <color indexed="81"/>
            <rFont val="Tahoma"/>
            <family val="2"/>
          </rPr>
          <t xml:space="preserve"> subject*
Weighting: Science electives*, </t>
        </r>
        <r>
          <rPr>
            <b/>
            <sz val="9"/>
            <color indexed="81"/>
            <rFont val="Tahoma"/>
            <family val="2"/>
          </rPr>
          <t>excluding Integrated Science</t>
        </r>
        <r>
          <rPr>
            <sz val="9"/>
            <color indexed="81"/>
            <rFont val="Tahoma"/>
            <family val="2"/>
          </rPr>
          <t xml:space="preserve">
</t>
        </r>
      </text>
    </comment>
    <comment ref="D35" authorId="1" shapeId="0" xr:uid="{C4E29954-7990-4F4F-960E-A8594EB3A7CF}">
      <text>
        <r>
          <rPr>
            <sz val="9"/>
            <color indexed="81"/>
            <rFont val="Tahoma"/>
            <family val="2"/>
          </rPr>
          <t>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sz val="9"/>
            <color indexed="81"/>
            <rFont val="Tahoma"/>
            <family val="2"/>
          </rPr>
          <t xml:space="preserve">: English Language
</t>
        </r>
        <r>
          <rPr>
            <b/>
            <sz val="9"/>
            <color indexed="81"/>
            <rFont val="細明體"/>
            <family val="3"/>
            <charset val="136"/>
          </rPr>
          <t>較高比重</t>
        </r>
        <r>
          <rPr>
            <sz val="9"/>
            <color indexed="81"/>
            <rFont val="Tahoma"/>
            <family val="2"/>
          </rPr>
          <t xml:space="preserve">: Liberal Studies
</t>
        </r>
      </text>
    </comment>
    <comment ref="D36" authorId="1" shapeId="0" xr:uid="{580B0428-B730-4684-88EB-4D4D059F2081}">
      <text>
        <r>
          <rPr>
            <sz val="9"/>
            <color indexed="81"/>
            <rFont val="Tahoma"/>
            <family val="2"/>
          </rPr>
          <t xml:space="preserve">The best 5 subjects must include </t>
        </r>
        <r>
          <rPr>
            <b/>
            <sz val="9"/>
            <color indexed="81"/>
            <rFont val="Tahoma"/>
            <family val="2"/>
          </rPr>
          <t>Chinese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Tahoma"/>
            <family val="2"/>
          </rPr>
          <t xml:space="preserve">Chinese Language
</t>
        </r>
        <r>
          <rPr>
            <b/>
            <sz val="9"/>
            <color indexed="81"/>
            <rFont val="細明體"/>
            <family val="3"/>
            <charset val="136"/>
          </rPr>
          <t>較高比重</t>
        </r>
        <r>
          <rPr>
            <b/>
            <sz val="9"/>
            <color indexed="81"/>
            <rFont val="Tahoma"/>
            <family val="2"/>
          </rPr>
          <t>:</t>
        </r>
        <r>
          <rPr>
            <sz val="9"/>
            <color indexed="81"/>
            <rFont val="Tahoma"/>
            <family val="2"/>
          </rPr>
          <t xml:space="preserve"> Liberal Studies
</t>
        </r>
      </text>
    </comment>
    <comment ref="D37" authorId="1" shapeId="0" xr:uid="{3D911482-D3B2-4D1A-8680-55B9C2114BED}">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and </t>
        </r>
        <r>
          <rPr>
            <b/>
            <sz val="9"/>
            <color indexed="81"/>
            <rFont val="Tahoma"/>
            <family val="2"/>
          </rPr>
          <t>Chinese Language</t>
        </r>
        <r>
          <rPr>
            <sz val="9"/>
            <color indexed="81"/>
            <rFont val="Tahoma"/>
            <family val="2"/>
          </rPr>
          <t xml:space="preserve">.
</t>
        </r>
        <r>
          <rPr>
            <sz val="9"/>
            <color indexed="81"/>
            <rFont val="細明體"/>
            <family val="3"/>
            <charset val="136"/>
          </rPr>
          <t>最高比重</t>
        </r>
        <r>
          <rPr>
            <sz val="9"/>
            <color indexed="81"/>
            <rFont val="Tahoma"/>
            <family val="2"/>
          </rPr>
          <t xml:space="preserve">: </t>
        </r>
        <r>
          <rPr>
            <b/>
            <sz val="9"/>
            <color indexed="81"/>
            <rFont val="Tahoma"/>
            <family val="2"/>
          </rPr>
          <t>English Language</t>
        </r>
        <r>
          <rPr>
            <sz val="9"/>
            <color indexed="81"/>
            <rFont val="Tahoma"/>
            <family val="2"/>
          </rPr>
          <t xml:space="preserve">
</t>
        </r>
        <r>
          <rPr>
            <sz val="9"/>
            <color indexed="81"/>
            <rFont val="細明體"/>
            <family val="3"/>
            <charset val="136"/>
          </rPr>
          <t>較高比重</t>
        </r>
        <r>
          <rPr>
            <sz val="9"/>
            <color indexed="81"/>
            <rFont val="Tahoma"/>
            <family val="2"/>
          </rPr>
          <t xml:space="preserve">: </t>
        </r>
        <r>
          <rPr>
            <b/>
            <sz val="9"/>
            <color indexed="81"/>
            <rFont val="Tahoma"/>
            <family val="2"/>
          </rPr>
          <t>Chinese Language</t>
        </r>
        <r>
          <rPr>
            <sz val="9"/>
            <color indexed="81"/>
            <rFont val="Tahoma"/>
            <family val="2"/>
          </rPr>
          <t xml:space="preserve">
</t>
        </r>
      </text>
    </comment>
    <comment ref="D38" authorId="1" shapeId="0" xr:uid="{3148A1A7-99E1-4341-99DE-85B3FAC97C47}">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t>
        </r>
        <r>
          <rPr>
            <b/>
            <sz val="9"/>
            <color indexed="81"/>
            <rFont val="Tahoma"/>
            <family val="2"/>
          </rPr>
          <t>Mathematics</t>
        </r>
        <r>
          <rPr>
            <sz val="9"/>
            <color indexed="81"/>
            <rFont val="Tahoma"/>
            <family val="2"/>
          </rPr>
          <t xml:space="preserve"> and
the </t>
        </r>
        <r>
          <rPr>
            <b/>
            <sz val="9"/>
            <color indexed="81"/>
            <rFont val="Tahoma"/>
            <family val="2"/>
          </rPr>
          <t>best Science elective subject</t>
        </r>
        <r>
          <rPr>
            <sz val="9"/>
            <color indexed="81"/>
            <rFont val="Tahoma"/>
            <family val="2"/>
          </rPr>
          <t xml:space="preserve">*
M1/M2 can be included.
</t>
        </r>
        <r>
          <rPr>
            <b/>
            <sz val="9"/>
            <color indexed="81"/>
            <rFont val="細明體"/>
            <family val="3"/>
            <charset val="136"/>
          </rPr>
          <t>最高比重</t>
        </r>
        <r>
          <rPr>
            <b/>
            <sz val="9"/>
            <color indexed="81"/>
            <rFont val="Tahoma"/>
            <family val="2"/>
          </rPr>
          <t>:</t>
        </r>
        <r>
          <rPr>
            <sz val="9"/>
            <color indexed="81"/>
            <rFont val="Tahoma"/>
            <family val="2"/>
          </rPr>
          <t xml:space="preserve"> 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t>
        </r>
      </text>
    </comment>
    <comment ref="D40" authorId="1" shapeId="0" xr:uid="{DEC88F74-8CD0-4673-A76B-981267543896}">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D41" authorId="1" shapeId="0" xr:uid="{D0F2F225-4801-47BD-8AE9-54EF52C8DC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 xml:space="preserve">English Language </t>
        </r>
        <r>
          <rPr>
            <sz val="9"/>
            <color indexed="81"/>
            <rFont val="Tahoma"/>
            <family val="2"/>
          </rPr>
          <t>and</t>
        </r>
        <r>
          <rPr>
            <b/>
            <sz val="9"/>
            <color indexed="81"/>
            <rFont val="Tahoma"/>
            <family val="2"/>
          </rPr>
          <t xml:space="preserve"> Mathematics</t>
        </r>
        <r>
          <rPr>
            <sz val="9"/>
            <color indexed="81"/>
            <rFont val="Tahoma"/>
            <family val="2"/>
          </rPr>
          <t xml:space="preserve">.
</t>
        </r>
      </text>
    </comment>
    <comment ref="D42" authorId="1" shapeId="0" xr:uid="{34F993D4-ECE9-485F-A6EB-D0954965A888}">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t>
        </r>
        <r>
          <rPr>
            <b/>
            <sz val="9"/>
            <color indexed="81"/>
            <rFont val="Tahoma"/>
            <family val="2"/>
          </rPr>
          <t xml:space="preserve">
</t>
        </r>
        <r>
          <rPr>
            <sz val="9"/>
            <color indexed="81"/>
            <rFont val="Tahoma"/>
            <family val="2"/>
          </rPr>
          <t xml:space="preserve">
The best 5 subjects must include </t>
        </r>
        <r>
          <rPr>
            <b/>
            <sz val="9"/>
            <color indexed="81"/>
            <rFont val="Tahoma"/>
            <family val="2"/>
          </rPr>
          <t xml:space="preserve">English Language and Mathematics.
</t>
        </r>
      </text>
    </comment>
    <comment ref="D43" authorId="1" shapeId="0" xr:uid="{D6AEBDB5-D439-4FB0-91DB-C6417DAB9DB9}">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Mathematics.</t>
        </r>
        <r>
          <rPr>
            <sz val="9"/>
            <color indexed="81"/>
            <rFont val="Tahoma"/>
            <family val="2"/>
          </rPr>
          <t xml:space="preserve">
</t>
        </r>
      </text>
    </comment>
    <comment ref="D44" authorId="1" shapeId="0" xr:uid="{C923D9BB-CCC8-49E6-8ADC-BE06D471A321}">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English Language</t>
        </r>
        <r>
          <rPr>
            <sz val="9"/>
            <color indexed="81"/>
            <rFont val="Tahoma"/>
            <family val="2"/>
          </rPr>
          <t xml:space="preserve"> and </t>
        </r>
        <r>
          <rPr>
            <b/>
            <sz val="9"/>
            <color indexed="81"/>
            <rFont val="Tahoma"/>
            <family val="2"/>
          </rPr>
          <t>Mathematics</t>
        </r>
        <r>
          <rPr>
            <sz val="9"/>
            <color indexed="81"/>
            <rFont val="Tahoma"/>
            <family val="2"/>
          </rPr>
          <t>.</t>
        </r>
      </text>
    </comment>
    <comment ref="D45" authorId="1" shapeId="0" xr:uid="{10CB5E54-EC85-4B25-9C60-90C51C1B7158}">
      <text>
        <r>
          <rPr>
            <sz val="9"/>
            <color indexed="81"/>
            <rFont val="Tahoma"/>
            <family val="2"/>
          </rPr>
          <t xml:space="preserve">The best 6 subjects must include </t>
        </r>
        <r>
          <rPr>
            <b/>
            <sz val="9"/>
            <color indexed="81"/>
            <rFont val="Tahoma"/>
            <family val="2"/>
          </rPr>
          <t>English Language</t>
        </r>
        <r>
          <rPr>
            <sz val="9"/>
            <color indexed="81"/>
            <rFont val="Tahoma"/>
            <family val="2"/>
          </rPr>
          <t xml:space="preserve">
</t>
        </r>
      </text>
    </comment>
    <comment ref="D46" authorId="1" shapeId="0" xr:uid="{A2C98F95-A560-4583-8B47-34E0649A3D03}">
      <text>
        <r>
          <rPr>
            <sz val="9"/>
            <color indexed="81"/>
            <rFont val="Tahoma"/>
            <family val="2"/>
          </rPr>
          <t xml:space="preserve">The best 6 subjects must include </t>
        </r>
        <r>
          <rPr>
            <b/>
            <sz val="9"/>
            <color indexed="81"/>
            <rFont val="Tahoma"/>
            <family val="2"/>
          </rPr>
          <t>English Language</t>
        </r>
      </text>
    </comment>
    <comment ref="D47" authorId="1" shapeId="0" xr:uid="{81E47F9B-7F65-4571-B21B-AC08BF8B1630}">
      <text>
        <r>
          <rPr>
            <sz val="9"/>
            <color indexed="81"/>
            <rFont val="Tahoma"/>
            <family val="2"/>
          </rPr>
          <t xml:space="preserve">The score of </t>
        </r>
        <r>
          <rPr>
            <b/>
            <sz val="9"/>
            <color indexed="81"/>
            <rFont val="Tahoma"/>
            <family val="2"/>
          </rPr>
          <t xml:space="preserve">Mathematics compulsory </t>
        </r>
        <r>
          <rPr>
            <sz val="9"/>
            <color indexed="81"/>
            <rFont val="Tahoma"/>
            <family val="2"/>
          </rPr>
          <t xml:space="preserve">part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[MA+(M1/M2*0.5)]/1.5</t>
        </r>
      </text>
    </comment>
    <comment ref="D48" authorId="1" shapeId="0" xr:uid="{E111EBC3-88B1-4E86-8078-6D87AD048CB0}">
      <text>
        <r>
          <rPr>
            <sz val="9"/>
            <color indexed="81"/>
            <rFont val="Tahoma"/>
            <family val="2"/>
          </rPr>
          <t xml:space="preserve">Consideration of both Category A and C subjects, </t>
        </r>
        <r>
          <rPr>
            <b/>
            <sz val="9"/>
            <color indexed="81"/>
            <rFont val="Tahoma"/>
            <family val="2"/>
          </rPr>
          <t xml:space="preserve">excluding M1/M2.
</t>
        </r>
      </text>
    </comment>
    <comment ref="D49" authorId="1" shapeId="0" xr:uid="{37D5D53E-378A-40DE-89B0-31ECE16AED11}">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D50" authorId="1" shapeId="0" xr:uid="{37F83F56-04D2-48BB-8A39-55467E3FD36D}">
      <text>
        <r>
          <rPr>
            <sz val="9"/>
            <color indexed="81"/>
            <rFont val="Tahoma"/>
            <family val="2"/>
          </rPr>
          <t xml:space="preserve">The score of </t>
        </r>
        <r>
          <rPr>
            <b/>
            <sz val="9"/>
            <color indexed="81"/>
            <rFont val="Tahoma"/>
            <family val="2"/>
          </rPr>
          <t>Mathematics compulsory part</t>
        </r>
        <r>
          <rPr>
            <sz val="9"/>
            <color indexed="81"/>
            <rFont val="Tahoma"/>
            <family val="2"/>
          </rPr>
          <t xml:space="preserve">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 xml:space="preserve">
[MA+(M1/M2*0.5)]/1.5</t>
        </r>
        <r>
          <rPr>
            <sz val="9"/>
            <color indexed="81"/>
            <rFont val="Tahoma"/>
            <family val="2"/>
          </rPr>
          <t xml:space="preserve">
</t>
        </r>
      </text>
    </comment>
    <comment ref="D51" authorId="1" shapeId="0" xr:uid="{DE12422D-A545-4D06-AA0F-58D4D1CFCDFD}">
      <text>
        <r>
          <rPr>
            <sz val="9"/>
            <color indexed="81"/>
            <rFont val="Tahoma"/>
            <family val="2"/>
          </rPr>
          <t xml:space="preserve">The score of </t>
        </r>
        <r>
          <rPr>
            <b/>
            <sz val="9"/>
            <color indexed="81"/>
            <rFont val="Tahoma"/>
            <family val="2"/>
          </rPr>
          <t xml:space="preserve">Mathematics compulsory part </t>
        </r>
        <r>
          <rPr>
            <sz val="9"/>
            <color indexed="81"/>
            <rFont val="Tahoma"/>
            <family val="2"/>
          </rPr>
          <t>(MA) or the</t>
        </r>
        <r>
          <rPr>
            <b/>
            <sz val="9"/>
            <color indexed="81"/>
            <rFont val="Tahoma"/>
            <family val="2"/>
          </rPr>
          <t xml:space="preserve"> combined score of
MA and M1/M2</t>
        </r>
        <r>
          <rPr>
            <sz val="9"/>
            <color indexed="81"/>
            <rFont val="Tahoma"/>
            <family val="2"/>
          </rPr>
          <t xml:space="preserve"> calculated as below, whichever is higher, will be taken into
consideration.
</t>
        </r>
        <r>
          <rPr>
            <b/>
            <sz val="9"/>
            <color indexed="81"/>
            <rFont val="Tahoma"/>
            <family val="2"/>
          </rPr>
          <t>[MA+(M1/M2*0.5)]/1.5</t>
        </r>
        <r>
          <rPr>
            <sz val="9"/>
            <color indexed="81"/>
            <rFont val="Tahoma"/>
            <family val="2"/>
          </rPr>
          <t xml:space="preserve">
</t>
        </r>
      </text>
    </comment>
    <comment ref="D52" authorId="1" shapeId="0" xr:uid="{2666DD02-8E32-4195-925C-0D3E29F5A542}">
      <text>
        <r>
          <rPr>
            <sz val="9"/>
            <color indexed="81"/>
            <rFont val="Tahoma"/>
            <family val="2"/>
          </rPr>
          <t xml:space="preserve">The best 6 subjects must include </t>
        </r>
        <r>
          <rPr>
            <b/>
            <sz val="9"/>
            <color indexed="81"/>
            <rFont val="Tahoma"/>
            <family val="2"/>
          </rPr>
          <t xml:space="preserve">English Language, Mathematics, M1/M2.
</t>
        </r>
        <r>
          <rPr>
            <sz val="9"/>
            <color indexed="81"/>
            <rFont val="Tahoma"/>
            <family val="2"/>
          </rPr>
          <t xml:space="preserve">
</t>
        </r>
        <r>
          <rPr>
            <b/>
            <sz val="9"/>
            <color indexed="81"/>
            <rFont val="細明體"/>
            <family val="3"/>
            <charset val="136"/>
          </rPr>
          <t>較高比重</t>
        </r>
        <r>
          <rPr>
            <b/>
            <sz val="9"/>
            <color indexed="81"/>
            <rFont val="Tahoma"/>
            <family val="2"/>
          </rPr>
          <t>:</t>
        </r>
        <r>
          <rPr>
            <sz val="9"/>
            <color indexed="81"/>
            <rFont val="Tahoma"/>
            <family val="2"/>
          </rPr>
          <t xml:space="preserve"> English Language, Mathematics, M1/M2
</t>
        </r>
      </text>
    </comment>
    <comment ref="D53" authorId="1" shapeId="0" xr:uid="{8BDECABF-B29C-441D-B311-8E9208CF0455}">
      <text>
        <r>
          <rPr>
            <sz val="9"/>
            <color indexed="81"/>
            <rFont val="Tahoma"/>
            <family val="2"/>
          </rPr>
          <t xml:space="preserve">The best 5 subjects must include </t>
        </r>
        <r>
          <rPr>
            <b/>
            <sz val="9"/>
            <color indexed="81"/>
            <rFont val="Tahoma"/>
            <family val="2"/>
          </rPr>
          <t>English Language, Mathematics</t>
        </r>
        <r>
          <rPr>
            <sz val="9"/>
            <color indexed="81"/>
            <rFont val="Tahoma"/>
            <family val="2"/>
          </rPr>
          <t xml:space="preserve"> and the
</t>
        </r>
        <r>
          <rPr>
            <b/>
            <sz val="9"/>
            <color indexed="81"/>
            <rFont val="Tahoma"/>
            <family val="2"/>
          </rPr>
          <t>best Science elective</t>
        </r>
        <r>
          <rPr>
            <sz val="9"/>
            <color indexed="81"/>
            <rFont val="Tahoma"/>
            <family val="2"/>
          </rPr>
          <t xml:space="preserve"> subject*.
M1/M2 can be included.
</t>
        </r>
        <r>
          <rPr>
            <b/>
            <sz val="9"/>
            <color indexed="81"/>
            <rFont val="細明體"/>
            <family val="3"/>
            <charset val="136"/>
          </rPr>
          <t>最高比重</t>
        </r>
        <r>
          <rPr>
            <b/>
            <sz val="9"/>
            <color indexed="81"/>
            <rFont val="Tahoma"/>
            <family val="2"/>
          </rPr>
          <t xml:space="preserve">: </t>
        </r>
        <r>
          <rPr>
            <sz val="9"/>
            <color indexed="81"/>
            <rFont val="Tahoma"/>
            <family val="2"/>
          </rPr>
          <t xml:space="preserve">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t>
        </r>
      </text>
    </comment>
    <comment ref="D54" authorId="1" shapeId="0" xr:uid="{7EBC89DA-DF20-47DD-8728-3EC334AA663A}">
      <text>
        <r>
          <rPr>
            <sz val="9"/>
            <color indexed="81"/>
            <rFont val="Tahoma"/>
            <family val="2"/>
          </rPr>
          <t xml:space="preserve">Consideration of both Category A and C subjects, </t>
        </r>
        <r>
          <rPr>
            <b/>
            <sz val="9"/>
            <color indexed="81"/>
            <rFont val="Tahoma"/>
            <family val="2"/>
          </rPr>
          <t>excluding M1/M2</t>
        </r>
      </text>
    </comment>
    <comment ref="D55" authorId="1" shapeId="0" xr:uid="{A9017AE7-04A2-4FBE-A03F-E1350833F9D8}">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D57" authorId="1" shapeId="0" xr:uid="{5424DBFA-2721-4202-9A98-FEECB51A1A14}">
      <text>
        <r>
          <rPr>
            <sz val="9"/>
            <color indexed="81"/>
            <rFont val="Tahoma"/>
            <family val="2"/>
          </rPr>
          <t xml:space="preserve">Consideration of both Category A and C subjects, </t>
        </r>
        <r>
          <rPr>
            <b/>
            <sz val="9"/>
            <color indexed="81"/>
            <rFont val="Tahoma"/>
            <family val="2"/>
          </rPr>
          <t>excluding M1/M2</t>
        </r>
      </text>
    </comment>
    <comment ref="D58" authorId="1" shapeId="0" xr:uid="{767C6EB9-90AD-4362-A374-8112045C05BD}">
      <text>
        <r>
          <rPr>
            <sz val="9"/>
            <color indexed="81"/>
            <rFont val="Tahoma"/>
            <family val="2"/>
          </rPr>
          <t xml:space="preserve">Consideration of both Category A and C subjects, </t>
        </r>
        <r>
          <rPr>
            <b/>
            <sz val="9"/>
            <color indexed="81"/>
            <rFont val="Tahoma"/>
            <family val="2"/>
          </rPr>
          <t>excluding M1/M2</t>
        </r>
      </text>
    </comment>
    <comment ref="D59" authorId="1" shapeId="0" xr:uid="{4F7535F9-3197-4DBE-8F51-018859268E9B}">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t>
        </r>
        <r>
          <rPr>
            <b/>
            <sz val="9"/>
            <color indexed="81"/>
            <rFont val="細明體"/>
            <family val="3"/>
            <charset val="136"/>
          </rPr>
          <t>最高比重</t>
        </r>
        <r>
          <rPr>
            <b/>
            <sz val="9"/>
            <color indexed="81"/>
            <rFont val="Tahoma"/>
            <family val="2"/>
          </rPr>
          <t>:</t>
        </r>
        <r>
          <rPr>
            <sz val="9"/>
            <color indexed="81"/>
            <rFont val="Tahoma"/>
            <family val="2"/>
          </rPr>
          <t xml:space="preserve"> English Language, Mathematics, M1/M2
</t>
        </r>
        <r>
          <rPr>
            <b/>
            <sz val="9"/>
            <color indexed="81"/>
            <rFont val="細明體"/>
            <family val="3"/>
            <charset val="136"/>
          </rPr>
          <t>較高比重</t>
        </r>
        <r>
          <rPr>
            <b/>
            <sz val="9"/>
            <color indexed="81"/>
            <rFont val="Tahoma"/>
            <family val="2"/>
          </rPr>
          <t>:</t>
        </r>
        <r>
          <rPr>
            <sz val="9"/>
            <color indexed="81"/>
            <rFont val="Tahoma"/>
            <family val="2"/>
          </rPr>
          <t xml:space="preserve"> Science Electives
</t>
        </r>
      </text>
    </comment>
    <comment ref="D60" authorId="0" shapeId="0" xr:uid="{6AB6C462-366B-43B6-9589-42DA5746563A}">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
Consideration of both Category A and C subjects, in
which </t>
        </r>
        <r>
          <rPr>
            <b/>
            <sz val="9"/>
            <color indexed="81"/>
            <rFont val="Tahoma"/>
            <family val="2"/>
          </rPr>
          <t>M1/M2 can be included</t>
        </r>
        <r>
          <rPr>
            <sz val="9"/>
            <color indexed="81"/>
            <rFont val="Tahoma"/>
            <family val="2"/>
          </rPr>
          <t xml:space="preserve"> as an elective.</t>
        </r>
      </text>
    </comment>
    <comment ref="D61" authorId="1" shapeId="0" xr:uid="{7F6FD346-AB9C-44A1-86E8-463E31F24417}">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6 subjects must include </t>
        </r>
        <r>
          <rPr>
            <b/>
            <sz val="9"/>
            <color indexed="81"/>
            <rFont val="Tahoma"/>
            <family val="2"/>
          </rPr>
          <t>English Language, Mathematics.</t>
        </r>
        <r>
          <rPr>
            <sz val="9"/>
            <color indexed="81"/>
            <rFont val="Tahoma"/>
            <family val="2"/>
          </rPr>
          <t xml:space="preserve">
</t>
        </r>
      </text>
    </comment>
    <comment ref="D62" authorId="1" shapeId="0" xr:uid="{9D701576-CEAD-4D78-A523-4F5C99449F0F}">
      <text>
        <r>
          <rPr>
            <sz val="9"/>
            <color indexed="81"/>
            <rFont val="Tahoma"/>
            <family val="2"/>
          </rPr>
          <t xml:space="preserve">Consideration of both Category A and C subjects, </t>
        </r>
        <r>
          <rPr>
            <b/>
            <sz val="9"/>
            <color indexed="81"/>
            <rFont val="Tahoma"/>
            <family val="2"/>
          </rPr>
          <t>excluding M1/M2.</t>
        </r>
      </text>
    </comment>
    <comment ref="D66" authorId="0" shapeId="0" xr:uid="{11FCBB93-58F4-45F6-B1D6-310BB484CFDE}">
      <text>
        <r>
          <rPr>
            <b/>
            <sz val="9"/>
            <color indexed="81"/>
            <rFont val="Tahoma"/>
            <family val="2"/>
          </rPr>
          <t xml:space="preserve">Chinese with heavier weighting
</t>
        </r>
      </text>
    </comment>
    <comment ref="D69" authorId="0" shapeId="0" xr:uid="{22DF6B38-3A9E-4E5A-8A74-70765C7605AE}">
      <text>
        <r>
          <rPr>
            <b/>
            <sz val="9"/>
            <color indexed="81"/>
            <rFont val="Tahoma"/>
            <family val="2"/>
          </rPr>
          <t>Literature in English is preferred
English with heavier weighting</t>
        </r>
      </text>
    </comment>
    <comment ref="D70" authorId="0" shapeId="0" xr:uid="{B1610248-2E32-478F-8936-AA9ABBFAA2B7}">
      <text>
        <r>
          <rPr>
            <b/>
            <sz val="9"/>
            <color indexed="81"/>
            <rFont val="Tahoma"/>
            <family val="2"/>
          </rPr>
          <t>Visual Arts is preferred</t>
        </r>
        <r>
          <rPr>
            <sz val="9"/>
            <color indexed="81"/>
            <rFont val="Tahoma"/>
            <family val="2"/>
          </rPr>
          <t xml:space="preserve">
</t>
        </r>
      </text>
    </comment>
    <comment ref="D74" authorId="0" shapeId="0" xr:uid="{A8F9A599-EACC-41A0-904A-C2A05447A013}">
      <text>
        <r>
          <rPr>
            <b/>
            <sz val="9"/>
            <color indexed="81"/>
            <rFont val="Tahoma"/>
            <family val="2"/>
          </rPr>
          <t xml:space="preserve">Music is preferred
</t>
        </r>
      </text>
    </comment>
    <comment ref="D75" authorId="0" shapeId="0" xr:uid="{E5A862FD-936C-4F46-B14F-3AC5168DF08E}">
      <text>
        <r>
          <rPr>
            <b/>
            <sz val="9"/>
            <color indexed="81"/>
            <rFont val="Tahoma"/>
            <family val="2"/>
          </rPr>
          <t>English and Chinese must be included</t>
        </r>
      </text>
    </comment>
    <comment ref="D79" authorId="0" shapeId="0" xr:uid="{14D92528-F387-4A07-8757-2A8285CA5836}">
      <text>
        <r>
          <rPr>
            <b/>
            <sz val="9"/>
            <color indexed="81"/>
            <rFont val="Tahoma"/>
            <family val="2"/>
          </rPr>
          <t>(a) English Language at Level 4 or above is preferred</t>
        </r>
      </text>
    </comment>
    <comment ref="D93" authorId="0" shapeId="0" xr:uid="{D907EE92-AB1E-4A8A-A116-A4EC98E386E9}">
      <text>
        <r>
          <rPr>
            <b/>
            <sz val="9"/>
            <color indexed="81"/>
            <rFont val="細明體"/>
            <family val="3"/>
            <charset val="136"/>
          </rPr>
          <t>中文、英文</t>
        </r>
        <r>
          <rPr>
            <b/>
            <sz val="9"/>
            <color indexed="81"/>
            <rFont val="Tahoma"/>
            <family val="2"/>
          </rPr>
          <t xml:space="preserve"> x 1.2, </t>
        </r>
        <r>
          <rPr>
            <b/>
            <sz val="9"/>
            <color indexed="81"/>
            <rFont val="細明體"/>
            <family val="3"/>
            <charset val="136"/>
          </rPr>
          <t>數學、</t>
        </r>
        <r>
          <rPr>
            <b/>
            <sz val="9"/>
            <color indexed="81"/>
            <rFont val="Tahoma"/>
            <family val="2"/>
          </rPr>
          <t>M1/2 x 1.5</t>
        </r>
      </text>
    </comment>
    <comment ref="D95" authorId="0" shapeId="0" xr:uid="{8A274F96-B63F-49AC-8886-E68EDB24A0EC}">
      <text>
        <r>
          <rPr>
            <b/>
            <sz val="9"/>
            <color indexed="81"/>
            <rFont val="Tahoma"/>
            <family val="2"/>
          </rPr>
          <t>Mathematics (x 1.5)
• M1 or M2 (x 1.75)
• Biology, Chemistry, Combined Science, DAT, ICT, Physics (x 1.5)
• Liberal Studies (x 0.5)</t>
        </r>
        <r>
          <rPr>
            <sz val="9"/>
            <color indexed="81"/>
            <rFont val="Tahoma"/>
            <family val="2"/>
          </rPr>
          <t xml:space="preserve">
</t>
        </r>
      </text>
    </comment>
    <comment ref="D100" authorId="0" shapeId="0" xr:uid="{9B70D9A2-9186-4A02-9478-6907FE3540C7}">
      <text>
        <r>
          <rPr>
            <b/>
            <sz val="9"/>
            <color indexed="81"/>
            <rFont val="Tahoma"/>
            <family val="2"/>
          </rPr>
          <t>The following subjects are preferred:
• M1/M2
• Biology
• Chemistry
• Combined Science
• ICT
• Physics
^ Candidates with Level 4 in Mathematics (Compulsory Part) and good results in other HKDSE subjects will be exceptionally considered on a case by case basis.</t>
        </r>
        <r>
          <rPr>
            <sz val="9"/>
            <color indexed="81"/>
            <rFont val="Tahoma"/>
            <family val="2"/>
          </rPr>
          <t xml:space="preserve">
</t>
        </r>
      </text>
    </comment>
    <comment ref="D103" authorId="0" shapeId="0" xr:uid="{CCD64F1A-4301-44A0-B60C-29243BAE88F6}">
      <text>
        <r>
          <rPr>
            <b/>
            <sz val="9"/>
            <color indexed="81"/>
            <rFont val="Tahoma"/>
            <family val="2"/>
          </rPr>
          <t>Subjects with heavier weighting:
• Biology, Chemistry, Combined Science, Integrated Science, Physics</t>
        </r>
      </text>
    </comment>
    <comment ref="D106" authorId="0" shapeId="0" xr:uid="{0615F47E-A5D2-41D8-A8F5-9826FE6463FC}">
      <text>
        <r>
          <rPr>
            <b/>
            <sz val="9"/>
            <color indexed="81"/>
            <rFont val="Tahoma"/>
            <family val="2"/>
          </rPr>
          <t>Preferred subjects for one of the two electives:
• Biology
• Chemistry
• Combined Science
• Integrated Science
• Physics</t>
        </r>
      </text>
    </comment>
    <comment ref="D108" authorId="0" shapeId="0" xr:uid="{914F3D41-3924-4824-A5AA-9088D5DBF460}">
      <text>
        <r>
          <rPr>
            <sz val="9"/>
            <color indexed="81"/>
            <rFont val="Tahoma"/>
            <family val="2"/>
          </rPr>
          <t>(a) Category A subjects only
(b) Preferred subjects:
• M1/M2
• Biology
• Chemistry
• Combined Science
• Economics
• Geography
• ICT
• Integrated Science
• Physics
• Tech and Living (FST)</t>
        </r>
      </text>
    </comment>
    <comment ref="D109" authorId="0" shapeId="0" xr:uid="{6802E59B-1B3A-4CAA-B98F-3D25EE46723E}">
      <text>
        <r>
          <rPr>
            <b/>
            <sz val="9"/>
            <color indexed="81"/>
            <rFont val="Tahoma"/>
            <family val="2"/>
          </rPr>
          <t>Subjects with heavier weighting:
• English
• Mathematics
• M1 or M2
• Biology, Chemistry, Combined Science, Geography, Integrated Science, Physics</t>
        </r>
      </text>
    </comment>
    <comment ref="D110" authorId="0" shapeId="0" xr:uid="{17BE8CD0-2B27-4727-9E60-32F577AD2B78}">
      <text>
        <r>
          <rPr>
            <b/>
            <sz val="9"/>
            <color indexed="81"/>
            <rFont val="Tahoma"/>
            <family val="2"/>
          </rPr>
          <t>The programme places much heavier emphasis on M1 or M2</t>
        </r>
        <r>
          <rPr>
            <sz val="9"/>
            <color indexed="81"/>
            <rFont val="Tahoma"/>
            <family val="2"/>
          </rPr>
          <t xml:space="preserve">
</t>
        </r>
      </text>
    </comment>
    <comment ref="D111" authorId="0" shapeId="0" xr:uid="{76641104-28FC-4EA8-B21B-7C4CF5F3472C}">
      <text>
        <r>
          <rPr>
            <b/>
            <sz val="9"/>
            <color indexed="81"/>
            <rFont val="Tahoma"/>
            <family val="2"/>
          </rPr>
          <t>Subjects with heavier weighting:
• Mathematics
• M1 or M2
• Physics</t>
        </r>
        <r>
          <rPr>
            <sz val="9"/>
            <color indexed="81"/>
            <rFont val="Tahoma"/>
            <family val="2"/>
          </rPr>
          <t xml:space="preserve">
</t>
        </r>
      </text>
    </comment>
    <comment ref="D187" authorId="0" shapeId="0" xr:uid="{FBB5531F-3DF7-48CD-807B-903A8214EF1E}">
      <text>
        <r>
          <rPr>
            <b/>
            <sz val="9"/>
            <color indexed="81"/>
            <rFont val="細明體"/>
            <family val="3"/>
            <charset val="136"/>
          </rPr>
          <t>英文</t>
        </r>
        <r>
          <rPr>
            <b/>
            <sz val="9"/>
            <color indexed="81"/>
            <rFont val="Tahoma"/>
            <family val="2"/>
          </rPr>
          <t xml:space="preserve"> x1 </t>
        </r>
        <r>
          <rPr>
            <b/>
            <sz val="9"/>
            <color indexed="81"/>
            <rFont val="細明體"/>
            <family val="3"/>
            <charset val="136"/>
          </rPr>
          <t>數學</t>
        </r>
        <r>
          <rPr>
            <b/>
            <sz val="9"/>
            <color indexed="81"/>
            <rFont val="Tahoma"/>
            <family val="2"/>
          </rPr>
          <t xml:space="preserve"> x1
+</t>
        </r>
        <r>
          <rPr>
            <b/>
            <sz val="9"/>
            <color indexed="81"/>
            <rFont val="細明體"/>
            <family val="3"/>
            <charset val="136"/>
          </rPr>
          <t xml:space="preserve">
最佳兩科</t>
        </r>
        <r>
          <rPr>
            <b/>
            <sz val="9"/>
            <color indexed="81"/>
            <rFont val="Tahoma"/>
            <family val="2"/>
          </rPr>
          <t xml:space="preserve"> x1
(</t>
        </r>
        <r>
          <rPr>
            <sz val="9"/>
            <color indexed="81"/>
            <rFont val="Tahoma"/>
            <family val="2"/>
          </rPr>
          <t xml:space="preserve">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
</t>
        </r>
        <r>
          <rPr>
            <b/>
            <sz val="9"/>
            <color indexed="81"/>
            <rFont val="細明體"/>
            <family val="3"/>
            <charset val="136"/>
          </rPr>
          <t>最佳一科</t>
        </r>
        <r>
          <rPr>
            <b/>
            <sz val="9"/>
            <color indexed="81"/>
            <rFont val="Tahoma"/>
            <family val="2"/>
          </rPr>
          <t xml:space="preserve"> x1</t>
        </r>
        <r>
          <rPr>
            <sz val="9"/>
            <color indexed="81"/>
            <rFont val="Tahoma"/>
            <family val="2"/>
          </rPr>
          <t xml:space="preserve">
</t>
        </r>
      </text>
    </comment>
    <comment ref="D188" authorId="0" shapeId="0" xr:uid="{80922AD8-7CBD-410D-A18D-636BC4E248D3}">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D189" authorId="0" shapeId="0" xr:uid="{F07644D0-B64C-4C1B-9408-DBEC789270A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t>
        </r>
        <r>
          <rPr>
            <sz val="9"/>
            <color indexed="81"/>
            <rFont val="細明體"/>
            <family val="3"/>
            <charset val="136"/>
          </rPr>
          <t xml:space="preserve">
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x2
(M1/2 /</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 x1</t>
        </r>
      </text>
    </comment>
    <comment ref="D190" authorId="0" shapeId="0" xr:uid="{639A4907-BFAC-4897-B646-C176C6685E69}">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D191" authorId="0" shapeId="0" xr:uid="{3E0CEB11-7C5A-4892-B13A-8FFAB20C9589}">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/DAT)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t>
        </r>
      </text>
    </comment>
    <comment ref="D192" authorId="0" shapeId="0" xr:uid="{24EC802A-BD3B-4AC1-9D15-D92D7505C081}">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D193" authorId="0" shapeId="0" xr:uid="{E1DCE7B1-1194-4B01-A0A8-0261BAB24DF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D194" authorId="0" shapeId="0" xr:uid="{8FFC11A4-F9EC-4DBD-993A-34FC717D637D}">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D195" authorId="0" shapeId="0" xr:uid="{1D829D5C-FF05-4A43-A51E-58CDE5375922}">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D196" authorId="0" shapeId="0" xr:uid="{0398DC9B-2AD3-4307-A599-7E0F064EF4D2}">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D197" authorId="0" shapeId="0" xr:uid="{7A2F435E-CBB7-43D3-AF01-FA569CA3E8C8}">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D198" authorId="0" shapeId="0" xr:uid="{CDFDA78A-A4A6-492D-8540-0CAD580F639D}">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D199" authorId="0" shapeId="0" xr:uid="{BC4E1838-C2A6-41D0-BBE3-439B35E48F03}">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D200" authorId="0" shapeId="0" xr:uid="{396BC587-BF3A-4652-A5F7-72A33D356691}">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D201" authorId="0" shapeId="0" xr:uid="{E2ABBA7E-18CC-4D29-B4A5-3D7BA5E3D4AD}">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D202" authorId="0" shapeId="0" xr:uid="{281E87C2-B5DE-456D-A912-BD26ED58BF8A}">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D203" authorId="0" shapeId="0" xr:uid="{3F727823-27F8-4BE1-8E26-5C20FBDAAB91}">
      <text>
        <r>
          <rPr>
            <sz val="9"/>
            <color indexed="81"/>
            <rFont val="細明體"/>
            <family val="3"/>
            <charset val="136"/>
          </rPr>
          <t>英文</t>
        </r>
        <r>
          <rPr>
            <sz val="9"/>
            <color indexed="81"/>
            <rFont val="Tahoma"/>
            <family val="2"/>
          </rPr>
          <t xml:space="preserve"> x2 </t>
        </r>
        <r>
          <rPr>
            <sz val="9"/>
            <color indexed="81"/>
            <rFont val="細明體"/>
            <family val="3"/>
            <charset val="136"/>
          </rPr>
          <t>中文</t>
        </r>
        <r>
          <rPr>
            <sz val="9"/>
            <color indexed="81"/>
            <rFont val="Tahoma"/>
            <family val="2"/>
          </rPr>
          <t xml:space="preserve"> x1.5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D204" authorId="0" shapeId="0" xr:uid="{77F729EE-5886-42D4-BA12-C4FD6CCCCA1C}">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D205" authorId="0" shapeId="0" xr:uid="{C4FF0917-B172-49E4-8FDE-15FC180BCB76}">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最佳下列理科</t>
        </r>
        <r>
          <rPr>
            <sz val="9"/>
            <color indexed="81"/>
            <rFont val="Tahoma"/>
            <family val="2"/>
          </rPr>
          <t xml:space="preserve"> x1.5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ml:space="preserve">)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t>
        </r>
      </text>
    </comment>
    <comment ref="D206" authorId="0" shapeId="0" xr:uid="{DB428584-410C-4385-A50D-B6195DE7F519}">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D207" authorId="0" shapeId="0" xr:uid="{5B34FA4C-CFCD-4148-A635-EC5925C1FF71}">
      <text>
        <r>
          <rPr>
            <b/>
            <sz val="9"/>
            <color indexed="81"/>
            <rFont val="細明體"/>
            <family val="3"/>
            <charset val="136"/>
          </rPr>
          <t>英文</t>
        </r>
        <r>
          <rPr>
            <b/>
            <sz val="9"/>
            <color indexed="81"/>
            <rFont val="Tahoma"/>
            <family val="2"/>
          </rPr>
          <t xml:space="preserve"> x2 </t>
        </r>
        <r>
          <rPr>
            <b/>
            <sz val="9"/>
            <color indexed="81"/>
            <rFont val="細明體"/>
            <family val="3"/>
            <charset val="136"/>
          </rPr>
          <t>數學</t>
        </r>
        <r>
          <rPr>
            <b/>
            <sz val="9"/>
            <color indexed="81"/>
            <rFont val="Tahoma"/>
            <family val="2"/>
          </rPr>
          <t xml:space="preserve"> x2</t>
        </r>
        <r>
          <rPr>
            <sz val="9"/>
            <color indexed="81"/>
            <rFont val="Tahoma"/>
            <family val="2"/>
          </rPr>
          <t xml:space="preserve">
+
</t>
        </r>
        <r>
          <rPr>
            <b/>
            <sz val="9"/>
            <color indexed="81"/>
            <rFont val="Tahoma"/>
            <family val="2"/>
          </rPr>
          <t>M1/2 x 2</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最佳下列科目</t>
        </r>
        <r>
          <rPr>
            <b/>
            <sz val="9"/>
            <color indexed="81"/>
            <rFont val="Tahoma"/>
            <family val="2"/>
          </rPr>
          <t xml:space="preserve"> x1.5</t>
        </r>
        <r>
          <rPr>
            <sz val="9"/>
            <color indexed="81"/>
            <rFont val="Tahoma"/>
            <family val="2"/>
          </rPr>
          <t xml:space="preserve">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綜合科學</t>
        </r>
        <r>
          <rPr>
            <sz val="9"/>
            <color indexed="81"/>
            <rFont val="Tahoma"/>
            <family val="2"/>
          </rPr>
          <t>/</t>
        </r>
        <r>
          <rPr>
            <sz val="9"/>
            <color indexed="81"/>
            <rFont val="細明體"/>
            <family val="3"/>
            <charset val="136"/>
          </rPr>
          <t>經濟</t>
        </r>
        <r>
          <rPr>
            <sz val="9"/>
            <color indexed="81"/>
            <rFont val="Tahoma"/>
            <family val="2"/>
          </rPr>
          <t xml:space="preserve">)
+
</t>
        </r>
        <r>
          <rPr>
            <b/>
            <sz val="9"/>
            <color indexed="81"/>
            <rFont val="細明體"/>
            <family val="3"/>
            <charset val="136"/>
          </rPr>
          <t>最佳</t>
        </r>
        <r>
          <rPr>
            <b/>
            <sz val="9"/>
            <color indexed="81"/>
            <rFont val="Tahoma"/>
            <family val="2"/>
          </rPr>
          <t>3</t>
        </r>
        <r>
          <rPr>
            <b/>
            <sz val="9"/>
            <color indexed="81"/>
            <rFont val="細明體"/>
            <family val="3"/>
            <charset val="136"/>
          </rPr>
          <t>科</t>
        </r>
        <r>
          <rPr>
            <b/>
            <sz val="9"/>
            <color indexed="81"/>
            <rFont val="Tahoma"/>
            <family val="2"/>
          </rPr>
          <t xml:space="preserve"> x1</t>
        </r>
        <r>
          <rPr>
            <sz val="9"/>
            <color indexed="81"/>
            <rFont val="Tahoma"/>
            <family val="2"/>
          </rPr>
          <t xml:space="preserve">
</t>
        </r>
      </text>
    </comment>
    <comment ref="D208" authorId="0" shapeId="0" xr:uid="{C1102F4F-5555-4EB6-9A59-7EA9B5E9B39D}">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D209" authorId="0" shapeId="0" xr:uid="{B8B63525-A3B0-40C9-B9CA-ABD96F89514D}">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(M1/2 x1.5)
</t>
        </r>
      </text>
    </comment>
    <comment ref="D216" authorId="0" shapeId="0" xr:uid="{105CB702-E436-4360-B9F1-3C52C7A0431E}">
      <text>
        <r>
          <rPr>
            <b/>
            <sz val="9"/>
            <color indexed="81"/>
            <rFont val="細明體"/>
            <family val="3"/>
            <charset val="136"/>
          </rPr>
          <t>英文</t>
        </r>
        <r>
          <rPr>
            <b/>
            <sz val="9"/>
            <color indexed="81"/>
            <rFont val="Tahoma"/>
            <family val="2"/>
          </rPr>
          <t xml:space="preserve">x1.5
</t>
        </r>
      </text>
    </comment>
    <comment ref="D226" authorId="0" shapeId="0" xr:uid="{314A9CE0-259F-458C-B5E9-481209A9A4CB}">
      <text>
        <r>
          <rPr>
            <sz val="9"/>
            <color indexed="81"/>
            <rFont val="細明體"/>
            <family val="3"/>
            <charset val="136"/>
          </rPr>
          <t>英文</t>
        </r>
        <r>
          <rPr>
            <sz val="9"/>
            <color indexed="81"/>
            <rFont val="Tahoma"/>
            <family val="2"/>
          </rPr>
          <t xml:space="preserve">x2
</t>
        </r>
      </text>
    </comment>
    <comment ref="D227" authorId="0" shapeId="0" xr:uid="{AE12E0CD-1EB2-4DED-8C54-2D584457AF55}">
      <text>
        <r>
          <rPr>
            <sz val="9"/>
            <color indexed="81"/>
            <rFont val="細明體"/>
            <family val="3"/>
            <charset val="136"/>
          </rPr>
          <t>英文</t>
        </r>
        <r>
          <rPr>
            <sz val="9"/>
            <color indexed="81"/>
            <rFont val="Tahoma"/>
            <family val="2"/>
          </rPr>
          <t xml:space="preserve">x2
</t>
        </r>
      </text>
    </comment>
    <comment ref="D228" authorId="0" shapeId="0" xr:uid="{AE74F27F-1BD0-46C0-9589-F963C5AC94FB}">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 xml:space="preserve">x1.5
</t>
        </r>
      </text>
    </comment>
    <comment ref="D229" authorId="0" shapeId="0" xr:uid="{9D6B3572-2924-4589-B349-B822F28EEA32}">
      <text>
        <r>
          <rPr>
            <b/>
            <sz val="9"/>
            <color indexed="81"/>
            <rFont val="細明體"/>
            <family val="3"/>
            <charset val="136"/>
          </rPr>
          <t>英文</t>
        </r>
        <r>
          <rPr>
            <b/>
            <sz val="9"/>
            <color indexed="81"/>
            <rFont val="Tahoma"/>
            <family val="2"/>
          </rPr>
          <t>x2</t>
        </r>
        <r>
          <rPr>
            <sz val="9"/>
            <color indexed="81"/>
            <rFont val="Tahoma"/>
            <family val="2"/>
          </rPr>
          <t xml:space="preserve">
</t>
        </r>
      </text>
    </comment>
    <comment ref="D230" authorId="0" shapeId="0" xr:uid="{65A38AA2-FD4F-4E43-BBDA-626A23321706}">
      <text>
        <r>
          <rPr>
            <b/>
            <sz val="9"/>
            <color indexed="81"/>
            <rFont val="細明體"/>
            <family val="3"/>
            <charset val="136"/>
          </rPr>
          <t>英文</t>
        </r>
        <r>
          <rPr>
            <b/>
            <sz val="9"/>
            <color indexed="81"/>
            <rFont val="Tahoma"/>
            <family val="2"/>
          </rPr>
          <t xml:space="preserve">x2, </t>
        </r>
        <r>
          <rPr>
            <b/>
            <sz val="9"/>
            <color indexed="81"/>
            <rFont val="細明體"/>
            <family val="3"/>
            <charset val="136"/>
          </rPr>
          <t>數學</t>
        </r>
        <r>
          <rPr>
            <b/>
            <sz val="9"/>
            <color indexed="81"/>
            <rFont val="Tahoma"/>
            <family val="2"/>
          </rPr>
          <t xml:space="preserve">x2.5, </t>
        </r>
        <r>
          <rPr>
            <b/>
            <sz val="9"/>
            <color indexed="81"/>
            <rFont val="細明體"/>
            <family val="3"/>
            <charset val="136"/>
          </rPr>
          <t>化學</t>
        </r>
        <r>
          <rPr>
            <b/>
            <sz val="9"/>
            <color indexed="81"/>
            <rFont val="Tahoma"/>
            <family val="2"/>
          </rPr>
          <t>/</t>
        </r>
        <r>
          <rPr>
            <b/>
            <sz val="9"/>
            <color indexed="81"/>
            <rFont val="細明體"/>
            <family val="3"/>
            <charset val="136"/>
          </rPr>
          <t>物理</t>
        </r>
        <r>
          <rPr>
            <b/>
            <sz val="9"/>
            <color indexed="81"/>
            <rFont val="Tahoma"/>
            <family val="2"/>
          </rPr>
          <t>/</t>
        </r>
        <r>
          <rPr>
            <b/>
            <sz val="9"/>
            <color indexed="81"/>
            <rFont val="細明體"/>
            <family val="3"/>
            <charset val="136"/>
          </rPr>
          <t>組合科學</t>
        </r>
        <r>
          <rPr>
            <b/>
            <sz val="9"/>
            <color indexed="81"/>
            <rFont val="Tahoma"/>
            <family val="2"/>
          </rPr>
          <t>(</t>
        </r>
        <r>
          <rPr>
            <b/>
            <sz val="9"/>
            <color indexed="81"/>
            <rFont val="細明體"/>
            <family val="3"/>
            <charset val="136"/>
          </rPr>
          <t>物理、化學</t>
        </r>
        <r>
          <rPr>
            <b/>
            <sz val="9"/>
            <color indexed="81"/>
            <rFont val="Tahoma"/>
            <family val="2"/>
          </rPr>
          <t>)x2.5</t>
        </r>
      </text>
    </comment>
    <comment ref="D232" authorId="0" shapeId="0" xr:uid="{BF80304D-D7E9-4C30-B2B9-52A9673CBD21}">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D233" authorId="0" shapeId="0" xr:uid="{49DF6AEC-F7CC-48D8-A7DE-AF9BA5D8E392}">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D234" authorId="0" shapeId="0" xr:uid="{6E49EDC9-1518-461E-9CA5-E778794D8043}">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D235" authorId="0" shapeId="0" xr:uid="{60E9D6BA-EEC0-4F37-87EB-C817ABB40FE9}">
      <text>
        <r>
          <rPr>
            <b/>
            <sz val="9"/>
            <color indexed="81"/>
            <rFont val="細明體"/>
            <family val="3"/>
            <charset val="136"/>
          </rPr>
          <t>英文</t>
        </r>
        <r>
          <rPr>
            <b/>
            <sz val="9"/>
            <color indexed="81"/>
            <rFont val="Tahoma"/>
            <family val="2"/>
          </rPr>
          <t>x2</t>
        </r>
        <r>
          <rPr>
            <sz val="9"/>
            <color indexed="81"/>
            <rFont val="Tahoma"/>
            <family val="2"/>
          </rPr>
          <t xml:space="preserve">
</t>
        </r>
      </text>
    </comment>
    <comment ref="D236" authorId="0" shapeId="0" xr:uid="{0B2ED413-B139-410B-B311-7579D08FE8F5}">
      <text>
        <r>
          <rPr>
            <b/>
            <sz val="9"/>
            <color indexed="81"/>
            <rFont val="細明體"/>
            <family val="3"/>
            <charset val="136"/>
          </rPr>
          <t>英文</t>
        </r>
        <r>
          <rPr>
            <b/>
            <sz val="9"/>
            <color indexed="81"/>
            <rFont val="Tahoma"/>
            <family val="2"/>
          </rPr>
          <t>x2</t>
        </r>
        <r>
          <rPr>
            <sz val="9"/>
            <color indexed="81"/>
            <rFont val="Tahoma"/>
            <family val="2"/>
          </rPr>
          <t xml:space="preserve">
</t>
        </r>
      </text>
    </comment>
    <comment ref="D237" authorId="0" shapeId="0" xr:uid="{CA9A64B8-0A1E-4BA9-851A-EC9A4D2180E0}">
      <text>
        <r>
          <rPr>
            <b/>
            <sz val="9"/>
            <color indexed="81"/>
            <rFont val="Tahoma"/>
            <family val="2"/>
          </rPr>
          <t>(2020</t>
        </r>
        <r>
          <rPr>
            <b/>
            <sz val="9"/>
            <color indexed="81"/>
            <rFont val="細明體"/>
            <family val="3"/>
            <charset val="136"/>
          </rPr>
          <t>年改為所有科目</t>
        </r>
        <r>
          <rPr>
            <b/>
            <sz val="9"/>
            <color indexed="81"/>
            <rFont val="Tahoma"/>
            <family val="2"/>
          </rPr>
          <t xml:space="preserve">x1)
</t>
        </r>
        <r>
          <rPr>
            <b/>
            <sz val="9"/>
            <color indexed="81"/>
            <rFont val="細明體"/>
            <family val="3"/>
            <charset val="136"/>
          </rPr>
          <t>英文</t>
        </r>
        <r>
          <rPr>
            <b/>
            <sz val="9"/>
            <color indexed="81"/>
            <rFont val="Tahoma"/>
            <family val="2"/>
          </rPr>
          <t>x2</t>
        </r>
        <r>
          <rPr>
            <b/>
            <sz val="9"/>
            <color indexed="81"/>
            <rFont val="細明體"/>
            <family val="3"/>
            <charset val="136"/>
          </rPr>
          <t>，通識</t>
        </r>
        <r>
          <rPr>
            <b/>
            <sz val="9"/>
            <color indexed="81"/>
            <rFont val="Tahoma"/>
            <family val="2"/>
          </rPr>
          <t>x1.5</t>
        </r>
      </text>
    </comment>
    <comment ref="D238" authorId="0" shapeId="0" xr:uid="{A688A94B-C601-4892-B474-7B716337C2C1}">
      <text>
        <r>
          <rPr>
            <b/>
            <sz val="9"/>
            <color indexed="81"/>
            <rFont val="Tahoma"/>
            <family val="2"/>
          </rPr>
          <t xml:space="preserve">x2: </t>
        </r>
        <r>
          <rPr>
            <b/>
            <sz val="9"/>
            <color indexed="81"/>
            <rFont val="細明體"/>
            <family val="3"/>
            <charset val="136"/>
          </rPr>
          <t xml:space="preserve">中文，英文
</t>
        </r>
        <r>
          <rPr>
            <b/>
            <sz val="9"/>
            <color indexed="81"/>
            <rFont val="Tahoma"/>
            <family val="2"/>
          </rPr>
          <t xml:space="preserve">x1.5: </t>
        </r>
        <r>
          <rPr>
            <b/>
            <sz val="9"/>
            <color indexed="81"/>
            <rFont val="細明體"/>
            <family val="3"/>
            <charset val="136"/>
          </rPr>
          <t>通識</t>
        </r>
        <r>
          <rPr>
            <b/>
            <sz val="9"/>
            <color indexed="81"/>
            <rFont val="Tahoma"/>
            <family val="2"/>
          </rPr>
          <t>/</t>
        </r>
        <r>
          <rPr>
            <b/>
            <sz val="9"/>
            <color indexed="81"/>
            <rFont val="細明體"/>
            <family val="3"/>
            <charset val="136"/>
          </rPr>
          <t>中國歷史</t>
        </r>
        <r>
          <rPr>
            <b/>
            <sz val="9"/>
            <color indexed="81"/>
            <rFont val="Tahoma"/>
            <family val="2"/>
          </rPr>
          <t>/</t>
        </r>
        <r>
          <rPr>
            <b/>
            <sz val="9"/>
            <color indexed="81"/>
            <rFont val="細明體"/>
            <family val="3"/>
            <charset val="136"/>
          </rPr>
          <t>中國文學</t>
        </r>
        <r>
          <rPr>
            <b/>
            <sz val="9"/>
            <color indexed="81"/>
            <rFont val="Tahoma"/>
            <family val="2"/>
          </rPr>
          <t>/</t>
        </r>
        <r>
          <rPr>
            <b/>
            <sz val="9"/>
            <color indexed="81"/>
            <rFont val="細明體"/>
            <family val="3"/>
            <charset val="136"/>
          </rPr>
          <t>歷史</t>
        </r>
        <r>
          <rPr>
            <b/>
            <sz val="9"/>
            <color indexed="81"/>
            <rFont val="Tahoma"/>
            <family val="2"/>
          </rPr>
          <t>/</t>
        </r>
        <r>
          <rPr>
            <b/>
            <sz val="9"/>
            <color indexed="81"/>
            <rFont val="細明體"/>
            <family val="3"/>
            <charset val="136"/>
          </rPr>
          <t>視覺藝術</t>
        </r>
      </text>
    </comment>
    <comment ref="D239" authorId="0" shapeId="0" xr:uid="{91CC3B95-C6A5-4A37-ACDB-BC92BFEB92EA}">
      <text>
        <r>
          <rPr>
            <b/>
            <sz val="9"/>
            <color indexed="81"/>
            <rFont val="細明體"/>
            <family val="3"/>
            <charset val="136"/>
          </rPr>
          <t>英文</t>
        </r>
        <r>
          <rPr>
            <b/>
            <sz val="9"/>
            <color indexed="81"/>
            <rFont val="Tahoma"/>
            <family val="2"/>
          </rPr>
          <t>x2.5</t>
        </r>
        <r>
          <rPr>
            <b/>
            <sz val="9"/>
            <color indexed="81"/>
            <rFont val="細明體"/>
            <family val="3"/>
            <charset val="136"/>
          </rPr>
          <t>，通識</t>
        </r>
        <r>
          <rPr>
            <b/>
            <sz val="9"/>
            <color indexed="81"/>
            <rFont val="Tahoma"/>
            <family val="2"/>
          </rPr>
          <t>x1.5</t>
        </r>
        <r>
          <rPr>
            <b/>
            <sz val="9"/>
            <color indexed="81"/>
            <rFont val="細明體"/>
            <family val="3"/>
            <charset val="136"/>
          </rPr>
          <t>，英國文學</t>
        </r>
        <r>
          <rPr>
            <b/>
            <sz val="9"/>
            <color indexed="81"/>
            <rFont val="Tahoma"/>
            <family val="2"/>
          </rPr>
          <t xml:space="preserve">x1.5
</t>
        </r>
        <r>
          <rPr>
            <sz val="9"/>
            <color indexed="81"/>
            <rFont val="Tahoma"/>
            <family val="2"/>
          </rPr>
          <t xml:space="preserve">
</t>
        </r>
      </text>
    </comment>
    <comment ref="D240" authorId="0" shapeId="0" xr:uid="{476594EA-08AE-484C-948A-416D2C5AC707}">
      <text>
        <r>
          <rPr>
            <b/>
            <sz val="9"/>
            <color indexed="81"/>
            <rFont val="細明體"/>
            <family val="3"/>
            <charset val="136"/>
          </rPr>
          <t>中文</t>
        </r>
        <r>
          <rPr>
            <b/>
            <sz val="9"/>
            <color indexed="81"/>
            <rFont val="Tahoma"/>
            <family val="2"/>
          </rPr>
          <t>x1.5</t>
        </r>
        <r>
          <rPr>
            <b/>
            <sz val="9"/>
            <color indexed="81"/>
            <rFont val="細明體"/>
            <family val="3"/>
            <charset val="136"/>
          </rPr>
          <t>，英文</t>
        </r>
        <r>
          <rPr>
            <b/>
            <sz val="9"/>
            <color indexed="81"/>
            <rFont val="Tahoma"/>
            <family val="2"/>
          </rPr>
          <t>x2</t>
        </r>
        <r>
          <rPr>
            <sz val="9"/>
            <color indexed="81"/>
            <rFont val="Tahoma"/>
            <family val="2"/>
          </rPr>
          <t xml:space="preserve">
</t>
        </r>
      </text>
    </comment>
    <comment ref="D241" authorId="0" shapeId="0" xr:uid="{A16D249A-5386-4C3F-96B5-8F778161DAB9}">
      <text>
        <r>
          <rPr>
            <b/>
            <sz val="9"/>
            <color indexed="81"/>
            <rFont val="細明體"/>
            <family val="3"/>
            <charset val="136"/>
          </rPr>
          <t>中文</t>
        </r>
        <r>
          <rPr>
            <b/>
            <sz val="9"/>
            <color indexed="81"/>
            <rFont val="Tahoma"/>
            <family val="2"/>
          </rPr>
          <t>x1.25</t>
        </r>
        <r>
          <rPr>
            <b/>
            <sz val="9"/>
            <color indexed="81"/>
            <rFont val="細明體"/>
            <family val="3"/>
            <charset val="136"/>
          </rPr>
          <t>，英文</t>
        </r>
        <r>
          <rPr>
            <b/>
            <sz val="9"/>
            <color indexed="81"/>
            <rFont val="Tahoma"/>
            <family val="2"/>
          </rPr>
          <t>x1.25</t>
        </r>
        <r>
          <rPr>
            <sz val="9"/>
            <color indexed="81"/>
            <rFont val="Tahoma"/>
            <family val="2"/>
          </rPr>
          <t xml:space="preserve">
</t>
        </r>
      </text>
    </comment>
    <comment ref="D242" authorId="0" shapeId="0" xr:uid="{A302B352-F095-4249-BBB5-52E4D8A2BB17}">
      <text>
        <r>
          <rPr>
            <b/>
            <sz val="9"/>
            <color indexed="81"/>
            <rFont val="細明體"/>
            <family val="3"/>
            <charset val="136"/>
          </rPr>
          <t>英文</t>
        </r>
        <r>
          <rPr>
            <b/>
            <sz val="9"/>
            <color indexed="81"/>
            <rFont val="Tahoma"/>
            <family val="2"/>
          </rPr>
          <t>x2</t>
        </r>
        <r>
          <rPr>
            <b/>
            <sz val="9"/>
            <color indexed="81"/>
            <rFont val="細明體"/>
            <family val="3"/>
            <charset val="136"/>
          </rPr>
          <t>，通識</t>
        </r>
        <r>
          <rPr>
            <b/>
            <sz val="9"/>
            <color indexed="81"/>
            <rFont val="Tahoma"/>
            <family val="2"/>
          </rPr>
          <t>x1.5</t>
        </r>
        <r>
          <rPr>
            <sz val="9"/>
            <color indexed="81"/>
            <rFont val="Tahoma"/>
            <family val="2"/>
          </rPr>
          <t xml:space="preserve">
</t>
        </r>
      </text>
    </comment>
    <comment ref="D243" authorId="0" shapeId="0" xr:uid="{44C64896-D643-4B77-9CF0-F64AE778565F}">
      <text>
        <r>
          <rPr>
            <b/>
            <sz val="9"/>
            <color indexed="81"/>
            <rFont val="細明體"/>
            <family val="3"/>
            <charset val="136"/>
          </rPr>
          <t>英文</t>
        </r>
        <r>
          <rPr>
            <b/>
            <sz val="9"/>
            <color indexed="81"/>
            <rFont val="Tahoma"/>
            <family val="2"/>
          </rPr>
          <t>x2</t>
        </r>
        <r>
          <rPr>
            <sz val="9"/>
            <color indexed="81"/>
            <rFont val="Tahoma"/>
            <family val="2"/>
          </rPr>
          <t xml:space="preserve">
</t>
        </r>
      </text>
    </comment>
    <comment ref="D244" authorId="0" shapeId="0" xr:uid="{D6B834AA-455A-4742-A4EA-901484C491ED}">
      <text>
        <r>
          <rPr>
            <b/>
            <sz val="9"/>
            <color indexed="81"/>
            <rFont val="細明體"/>
            <family val="3"/>
            <charset val="136"/>
          </rPr>
          <t>英文</t>
        </r>
        <r>
          <rPr>
            <b/>
            <sz val="9"/>
            <color indexed="81"/>
            <rFont val="Tahoma"/>
            <family val="2"/>
          </rPr>
          <t>x2</t>
        </r>
        <r>
          <rPr>
            <sz val="9"/>
            <color indexed="81"/>
            <rFont val="Tahoma"/>
            <family val="2"/>
          </rPr>
          <t xml:space="preserve">
</t>
        </r>
      </text>
    </comment>
    <comment ref="D245" authorId="0" shapeId="0" xr:uid="{8355CADE-60CE-4E51-8374-03B7695A4D78}">
      <text>
        <r>
          <rPr>
            <b/>
            <sz val="9"/>
            <color indexed="81"/>
            <rFont val="細明體"/>
            <family val="3"/>
            <charset val="136"/>
          </rPr>
          <t>英文</t>
        </r>
        <r>
          <rPr>
            <b/>
            <sz val="9"/>
            <color indexed="81"/>
            <rFont val="Tahoma"/>
            <family val="2"/>
          </rPr>
          <t>x2</t>
        </r>
        <r>
          <rPr>
            <sz val="9"/>
            <color indexed="81"/>
            <rFont val="Tahoma"/>
            <family val="2"/>
          </rPr>
          <t xml:space="preserve">
</t>
        </r>
      </text>
    </comment>
    <comment ref="D246" authorId="0" shapeId="0" xr:uid="{296FCC2C-838C-442D-AAF7-143075AF96EE}">
      <text>
        <r>
          <rPr>
            <b/>
            <sz val="9"/>
            <color indexed="81"/>
            <rFont val="細明體"/>
            <family val="3"/>
            <charset val="136"/>
          </rPr>
          <t>英文</t>
        </r>
        <r>
          <rPr>
            <b/>
            <sz val="9"/>
            <color indexed="81"/>
            <rFont val="Tahoma"/>
            <family val="2"/>
          </rPr>
          <t>x2</t>
        </r>
        <r>
          <rPr>
            <sz val="9"/>
            <color indexed="81"/>
            <rFont val="Tahoma"/>
            <family val="2"/>
          </rPr>
          <t xml:space="preserve">
</t>
        </r>
      </text>
    </comment>
    <comment ref="D247" authorId="0" shapeId="0" xr:uid="{050C232D-A11B-4798-8A06-1698F074A282}">
      <text>
        <r>
          <rPr>
            <b/>
            <sz val="9"/>
            <color indexed="81"/>
            <rFont val="Tahoma"/>
            <family val="2"/>
          </rPr>
          <t xml:space="preserve">x2: </t>
        </r>
        <r>
          <rPr>
            <b/>
            <sz val="9"/>
            <color indexed="81"/>
            <rFont val="細明體"/>
            <family val="3"/>
            <charset val="136"/>
          </rPr>
          <t>英文，化學</t>
        </r>
        <r>
          <rPr>
            <b/>
            <sz val="9"/>
            <color indexed="81"/>
            <rFont val="Tahoma"/>
            <family val="2"/>
          </rPr>
          <t xml:space="preserve">x2
x1.5: </t>
        </r>
        <r>
          <rPr>
            <b/>
            <sz val="9"/>
            <color indexed="81"/>
            <rFont val="細明體"/>
            <family val="3"/>
            <charset val="136"/>
          </rPr>
          <t>數學，組合科學</t>
        </r>
        <r>
          <rPr>
            <b/>
            <sz val="9"/>
            <color indexed="81"/>
            <rFont val="Tahoma"/>
            <family val="2"/>
          </rPr>
          <t>(</t>
        </r>
        <r>
          <rPr>
            <b/>
            <sz val="9"/>
            <color indexed="81"/>
            <rFont val="細明體"/>
            <family val="3"/>
            <charset val="136"/>
          </rPr>
          <t>化學</t>
        </r>
        <r>
          <rPr>
            <b/>
            <sz val="9"/>
            <color indexed="81"/>
            <rFont val="Tahoma"/>
            <family val="2"/>
          </rPr>
          <t>)</t>
        </r>
      </text>
    </comment>
    <comment ref="D248" authorId="0" shapeId="0" xr:uid="{DAF9068F-BAD0-4599-85DB-098A3FE4CF13}">
      <text>
        <r>
          <rPr>
            <b/>
            <sz val="9"/>
            <color indexed="81"/>
            <rFont val="細明體"/>
            <family val="3"/>
            <charset val="136"/>
          </rPr>
          <t>英文</t>
        </r>
        <r>
          <rPr>
            <b/>
            <sz val="9"/>
            <color indexed="81"/>
            <rFont val="Tahoma"/>
            <family val="2"/>
          </rPr>
          <t>x2</t>
        </r>
        <r>
          <rPr>
            <sz val="9"/>
            <color indexed="81"/>
            <rFont val="Tahoma"/>
            <family val="2"/>
          </rPr>
          <t xml:space="preserve">
</t>
        </r>
      </text>
    </comment>
    <comment ref="D249" authorId="0" shapeId="0" xr:uid="{6054439B-B337-42BF-ADB5-ADE0F562B4B3}">
      <text>
        <r>
          <rPr>
            <b/>
            <sz val="9"/>
            <color indexed="81"/>
            <rFont val="Tahoma"/>
            <family val="2"/>
          </rPr>
          <t xml:space="preserve">x2: </t>
        </r>
        <r>
          <rPr>
            <b/>
            <sz val="9"/>
            <color indexed="81"/>
            <rFont val="細明體"/>
            <family val="3"/>
            <charset val="136"/>
          </rPr>
          <t>英文，數學，組合科學</t>
        </r>
        <r>
          <rPr>
            <b/>
            <sz val="9"/>
            <color indexed="81"/>
            <rFont val="Tahoma"/>
            <family val="2"/>
          </rPr>
          <t>(</t>
        </r>
        <r>
          <rPr>
            <b/>
            <sz val="9"/>
            <color indexed="81"/>
            <rFont val="細明體"/>
            <family val="3"/>
            <charset val="136"/>
          </rPr>
          <t>物理、化學</t>
        </r>
        <r>
          <rPr>
            <b/>
            <sz val="9"/>
            <color indexed="81"/>
            <rFont val="Tahoma"/>
            <family val="2"/>
          </rPr>
          <t>)</t>
        </r>
        <r>
          <rPr>
            <b/>
            <sz val="9"/>
            <color indexed="81"/>
            <rFont val="細明體"/>
            <family val="3"/>
            <charset val="136"/>
          </rPr>
          <t>，組合科學</t>
        </r>
        <r>
          <rPr>
            <b/>
            <sz val="9"/>
            <color indexed="81"/>
            <rFont val="Tahoma"/>
            <family val="2"/>
          </rPr>
          <t>(</t>
        </r>
        <r>
          <rPr>
            <b/>
            <sz val="9"/>
            <color indexed="81"/>
            <rFont val="細明體"/>
            <family val="3"/>
            <charset val="136"/>
          </rPr>
          <t>物理、生物</t>
        </r>
        <r>
          <rPr>
            <b/>
            <sz val="9"/>
            <color indexed="81"/>
            <rFont val="Tahoma"/>
            <family val="2"/>
          </rPr>
          <t>)</t>
        </r>
        <r>
          <rPr>
            <b/>
            <sz val="9"/>
            <color indexed="81"/>
            <rFont val="細明體"/>
            <family val="3"/>
            <charset val="136"/>
          </rPr>
          <t>，物理，</t>
        </r>
        <r>
          <rPr>
            <b/>
            <sz val="9"/>
            <color indexed="81"/>
            <rFont val="Tahoma"/>
            <family val="2"/>
          </rPr>
          <t>ICT</t>
        </r>
        <r>
          <rPr>
            <b/>
            <sz val="9"/>
            <color indexed="81"/>
            <rFont val="細明體"/>
            <family val="3"/>
            <charset val="136"/>
          </rPr>
          <t>，</t>
        </r>
        <r>
          <rPr>
            <b/>
            <sz val="9"/>
            <color indexed="81"/>
            <rFont val="Tahoma"/>
            <family val="2"/>
          </rPr>
          <t xml:space="preserve">M1/2
x1.5: </t>
        </r>
        <r>
          <rPr>
            <b/>
            <sz val="9"/>
            <color indexed="81"/>
            <rFont val="細明體"/>
            <family val="3"/>
            <charset val="136"/>
          </rPr>
          <t>組合科學</t>
        </r>
        <r>
          <rPr>
            <b/>
            <sz val="9"/>
            <color indexed="81"/>
            <rFont val="Tahoma"/>
            <family val="2"/>
          </rPr>
          <t>(</t>
        </r>
        <r>
          <rPr>
            <b/>
            <sz val="9"/>
            <color indexed="81"/>
            <rFont val="細明體"/>
            <family val="3"/>
            <charset val="136"/>
          </rPr>
          <t>生物、化學</t>
        </r>
        <r>
          <rPr>
            <b/>
            <sz val="9"/>
            <color indexed="81"/>
            <rFont val="Tahoma"/>
            <family val="2"/>
          </rPr>
          <t>)</t>
        </r>
        <r>
          <rPr>
            <b/>
            <sz val="9"/>
            <color indexed="81"/>
            <rFont val="細明體"/>
            <family val="3"/>
            <charset val="136"/>
          </rPr>
          <t>，生物，化學，綜合科學</t>
        </r>
        <r>
          <rPr>
            <sz val="9"/>
            <color indexed="81"/>
            <rFont val="Tahoma"/>
            <family val="2"/>
          </rPr>
          <t xml:space="preserve">
</t>
        </r>
      </text>
    </comment>
    <comment ref="D250" authorId="0" shapeId="0" xr:uid="{8C7AD05E-9E5E-425D-9A15-F99CBA450A64}">
      <text>
        <r>
          <rPr>
            <b/>
            <sz val="9"/>
            <color indexed="81"/>
            <rFont val="Tahoma"/>
            <family val="2"/>
          </rPr>
          <t xml:space="preserve">x2.5: </t>
        </r>
        <r>
          <rPr>
            <b/>
            <sz val="9"/>
            <color indexed="81"/>
            <rFont val="細明體"/>
            <family val="3"/>
            <charset val="136"/>
          </rPr>
          <t>數學</t>
        </r>
        <r>
          <rPr>
            <b/>
            <sz val="9"/>
            <color indexed="81"/>
            <rFont val="Tahoma"/>
            <family val="2"/>
          </rPr>
          <t xml:space="preserve">
x2: </t>
        </r>
        <r>
          <rPr>
            <b/>
            <sz val="9"/>
            <color indexed="81"/>
            <rFont val="細明體"/>
            <family val="3"/>
            <charset val="136"/>
          </rPr>
          <t>英文、</t>
        </r>
        <r>
          <rPr>
            <b/>
            <sz val="9"/>
            <color indexed="81"/>
            <rFont val="Tahoma"/>
            <family val="2"/>
          </rPr>
          <t xml:space="preserve">M1/2
x1.5: </t>
        </r>
        <r>
          <rPr>
            <b/>
            <sz val="9"/>
            <color indexed="81"/>
            <rFont val="細明體"/>
            <family val="3"/>
            <charset val="136"/>
          </rPr>
          <t>組合科學，生物，化學，物理</t>
        </r>
        <r>
          <rPr>
            <sz val="9"/>
            <color indexed="81"/>
            <rFont val="Tahoma"/>
            <family val="2"/>
          </rPr>
          <t xml:space="preserve">
</t>
        </r>
      </text>
    </comment>
    <comment ref="D251" authorId="0" shapeId="0" xr:uid="{04318489-36B9-4C5B-8202-A2F469CA3ADB}">
      <text>
        <r>
          <rPr>
            <b/>
            <sz val="9"/>
            <color indexed="81"/>
            <rFont val="Tahoma"/>
            <family val="2"/>
          </rPr>
          <t xml:space="preserve">x2: </t>
        </r>
        <r>
          <rPr>
            <b/>
            <sz val="9"/>
            <color indexed="81"/>
            <rFont val="細明體"/>
            <family val="3"/>
            <charset val="136"/>
          </rPr>
          <t>英文，數學，物理</t>
        </r>
        <r>
          <rPr>
            <b/>
            <sz val="9"/>
            <color indexed="81"/>
            <rFont val="Tahoma"/>
            <family val="2"/>
          </rPr>
          <t xml:space="preserve">
x1.5: </t>
        </r>
        <r>
          <rPr>
            <b/>
            <sz val="9"/>
            <color indexed="81"/>
            <rFont val="細明體"/>
            <family val="3"/>
            <charset val="136"/>
          </rPr>
          <t>組合科學</t>
        </r>
        <r>
          <rPr>
            <b/>
            <sz val="9"/>
            <color indexed="81"/>
            <rFont val="Tahoma"/>
            <family val="2"/>
          </rPr>
          <t>(</t>
        </r>
        <r>
          <rPr>
            <b/>
            <sz val="9"/>
            <color indexed="81"/>
            <rFont val="細明體"/>
            <family val="3"/>
            <charset val="136"/>
          </rPr>
          <t>生物、化學</t>
        </r>
        <r>
          <rPr>
            <b/>
            <sz val="9"/>
            <color indexed="81"/>
            <rFont val="Tahoma"/>
            <family val="2"/>
          </rPr>
          <t>)</t>
        </r>
        <r>
          <rPr>
            <b/>
            <sz val="9"/>
            <color indexed="81"/>
            <rFont val="細明體"/>
            <family val="3"/>
            <charset val="136"/>
          </rPr>
          <t>，化學，</t>
        </r>
        <r>
          <rPr>
            <b/>
            <sz val="9"/>
            <color indexed="81"/>
            <rFont val="Tahoma"/>
            <family val="2"/>
          </rPr>
          <t>DAT</t>
        </r>
        <r>
          <rPr>
            <b/>
            <sz val="9"/>
            <color indexed="81"/>
            <rFont val="細明體"/>
            <family val="3"/>
            <charset val="136"/>
          </rPr>
          <t>，</t>
        </r>
        <r>
          <rPr>
            <b/>
            <sz val="9"/>
            <color indexed="81"/>
            <rFont val="Tahoma"/>
            <family val="2"/>
          </rPr>
          <t>M1/2</t>
        </r>
        <r>
          <rPr>
            <sz val="9"/>
            <color indexed="81"/>
            <rFont val="Tahoma"/>
            <family val="2"/>
          </rPr>
          <t xml:space="preserve">
</t>
        </r>
      </text>
    </comment>
    <comment ref="D252" authorId="0" shapeId="0" xr:uid="{4E3C785D-211E-48A9-9433-238BE3B65EF4}">
      <text>
        <r>
          <rPr>
            <b/>
            <sz val="9"/>
            <color indexed="81"/>
            <rFont val="Tahoma"/>
            <family val="2"/>
          </rPr>
          <t xml:space="preserve">x2: </t>
        </r>
        <r>
          <rPr>
            <b/>
            <sz val="9"/>
            <color indexed="81"/>
            <rFont val="細明體"/>
            <family val="3"/>
            <charset val="136"/>
          </rPr>
          <t xml:space="preserve">英文，物理
</t>
        </r>
        <r>
          <rPr>
            <b/>
            <sz val="9"/>
            <color indexed="81"/>
            <rFont val="Tahoma"/>
            <family val="2"/>
          </rPr>
          <t xml:space="preserve">x1.5: M1/2
x1.25: </t>
        </r>
        <r>
          <rPr>
            <b/>
            <sz val="9"/>
            <color indexed="81"/>
            <rFont val="細明體"/>
            <family val="3"/>
            <charset val="136"/>
          </rPr>
          <t xml:space="preserve">數學
</t>
        </r>
        <r>
          <rPr>
            <sz val="9"/>
            <color indexed="81"/>
            <rFont val="Tahoma"/>
            <family val="2"/>
          </rPr>
          <t xml:space="preserve">
</t>
        </r>
      </text>
    </comment>
    <comment ref="D253" authorId="0" shapeId="0" xr:uid="{276DC4B2-9BC7-4FDC-BDB6-013CD069BDF9}">
      <text>
        <r>
          <rPr>
            <b/>
            <sz val="9"/>
            <color indexed="81"/>
            <rFont val="Tahoma"/>
            <family val="2"/>
          </rPr>
          <t xml:space="preserve">x2: </t>
        </r>
        <r>
          <rPr>
            <b/>
            <sz val="9"/>
            <color indexed="81"/>
            <rFont val="細明體"/>
            <family val="3"/>
            <charset val="136"/>
          </rPr>
          <t xml:space="preserve">英文，物理
</t>
        </r>
        <r>
          <rPr>
            <b/>
            <sz val="9"/>
            <color indexed="81"/>
            <rFont val="Tahoma"/>
            <family val="2"/>
          </rPr>
          <t>x1.5: M1/2</t>
        </r>
        <r>
          <rPr>
            <b/>
            <sz val="9"/>
            <color indexed="81"/>
            <rFont val="細明體"/>
            <family val="3"/>
            <charset val="136"/>
          </rPr>
          <t xml:space="preserve">，化學
</t>
        </r>
        <r>
          <rPr>
            <sz val="9"/>
            <color indexed="81"/>
            <rFont val="Tahoma"/>
            <family val="2"/>
          </rPr>
          <t xml:space="preserve">
</t>
        </r>
      </text>
    </comment>
    <comment ref="D254" authorId="0" shapeId="0" xr:uid="{DA4BCBB8-B5EE-4A3F-AEF3-9F36B5D6F871}">
      <text>
        <r>
          <rPr>
            <b/>
            <sz val="9"/>
            <color indexed="81"/>
            <rFont val="Tahoma"/>
            <family val="2"/>
          </rPr>
          <t xml:space="preserve">x2: </t>
        </r>
        <r>
          <rPr>
            <b/>
            <sz val="9"/>
            <color indexed="81"/>
            <rFont val="細明體"/>
            <family val="3"/>
            <charset val="136"/>
          </rPr>
          <t xml:space="preserve">英文，數學，化學，物理，生物，組合科學
</t>
        </r>
        <r>
          <rPr>
            <sz val="9"/>
            <color indexed="81"/>
            <rFont val="Tahoma"/>
            <family val="2"/>
          </rPr>
          <t xml:space="preserve">
</t>
        </r>
      </text>
    </comment>
    <comment ref="D255" authorId="0" shapeId="0" xr:uid="{A269C1F8-653C-4040-9CE8-168A2BABE112}">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D256" authorId="0" shapeId="0" xr:uid="{28151026-9D84-453B-8406-77B259A46CEB}">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D257" authorId="0" shapeId="0" xr:uid="{5530304F-B0CA-4867-B1DE-42E783428D9D}">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D258" authorId="0" shapeId="0" xr:uid="{3F00A7BB-9E11-4842-B2EC-AE354C2E5D46}">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D260" authorId="0" shapeId="0" xr:uid="{F0DFF996-2160-439C-A5D4-03814CDC42B1}">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D261" authorId="0" shapeId="0" xr:uid="{5B906E4D-9CDF-4E7C-B310-6E7060CA7005}">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D262" authorId="0" shapeId="0" xr:uid="{9DF362ED-AC17-4250-B28A-E7A3A4668BD1}">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D304" authorId="0" shapeId="0" xr:uid="{0652A220-8A82-453E-AABA-964937140883}">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D305" authorId="0" shapeId="0" xr:uid="{E75A58C4-3259-430A-8DBE-8518B73D3C0E}">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t>
        </r>
        <r>
          <rPr>
            <sz val="9"/>
            <color indexed="81"/>
            <rFont val="Tahoma"/>
            <family val="2"/>
          </rPr>
          <t xml:space="preserve">
</t>
        </r>
      </text>
    </comment>
    <comment ref="D311" authorId="0" shapeId="0" xr:uid="{AF18E0B6-4112-4239-B336-9CE3C10B4D47}">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D312" authorId="0" shapeId="0" xr:uid="{C4CDAFED-7531-40FA-809E-A2B13993AA2D}">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英文</t>
        </r>
        <r>
          <rPr>
            <b/>
            <sz val="9"/>
            <color indexed="81"/>
            <rFont val="Tahoma"/>
            <family val="2"/>
          </rPr>
          <t xml:space="preserve"> x2</t>
        </r>
        <r>
          <rPr>
            <b/>
            <sz val="9"/>
            <color indexed="81"/>
            <rFont val="細明體"/>
            <family val="3"/>
            <charset val="136"/>
          </rPr>
          <t>、英國文學</t>
        </r>
        <r>
          <rPr>
            <b/>
            <sz val="9"/>
            <color indexed="81"/>
            <rFont val="Tahoma"/>
            <family val="2"/>
          </rPr>
          <t xml:space="preserve"> x2
</t>
        </r>
        <r>
          <rPr>
            <b/>
            <sz val="9"/>
            <color indexed="81"/>
            <rFont val="細明體"/>
            <family val="3"/>
            <charset val="136"/>
          </rPr>
          <t>中文、中國文學、通識、數學</t>
        </r>
        <r>
          <rPr>
            <b/>
            <sz val="9"/>
            <color indexed="81"/>
            <rFont val="Tahoma"/>
            <family val="2"/>
          </rPr>
          <t xml:space="preserve"> x1.5</t>
        </r>
      </text>
    </comment>
    <comment ref="D313" authorId="0" shapeId="0" xr:uid="{714D079A-88F8-4BF5-8891-EDAA8D4F1BFB}">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D314" authorId="0" shapeId="0" xr:uid="{56B3B0F0-11D9-42C7-B0DD-E5681DCC5789}">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英文</t>
        </r>
        <r>
          <rPr>
            <b/>
            <sz val="9"/>
            <color indexed="81"/>
            <rFont val="Tahoma"/>
            <family val="2"/>
          </rPr>
          <t xml:space="preserve"> x1.5
</t>
        </r>
      </text>
    </comment>
    <comment ref="D315" authorId="0" shapeId="0" xr:uid="{B8F8252E-3633-48E5-A5CA-E1FCAD884764}">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英文</t>
        </r>
        <r>
          <rPr>
            <b/>
            <sz val="9"/>
            <color indexed="81"/>
            <rFont val="Tahoma"/>
            <family val="2"/>
          </rPr>
          <t xml:space="preserve"> x1.5
</t>
        </r>
      </text>
    </comment>
    <comment ref="D316" authorId="0" shapeId="0" xr:uid="{71C08B7F-CEEA-4146-8B3E-A5E5905305F3}">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包括中、英文</t>
        </r>
        <r>
          <rPr>
            <b/>
            <sz val="9"/>
            <color indexed="81"/>
            <rFont val="Tahoma"/>
            <family val="2"/>
          </rPr>
          <t>)</t>
        </r>
        <r>
          <rPr>
            <b/>
            <sz val="9"/>
            <color indexed="81"/>
            <rFont val="細明體"/>
            <family val="3"/>
            <charset val="136"/>
          </rPr>
          <t xml:space="preserve">
中文、英文</t>
        </r>
        <r>
          <rPr>
            <b/>
            <sz val="9"/>
            <color indexed="81"/>
            <rFont val="Tahoma"/>
            <family val="2"/>
          </rPr>
          <t xml:space="preserve"> x1.25</t>
        </r>
      </text>
    </comment>
    <comment ref="D317" authorId="0" shapeId="0" xr:uid="{D56AEADB-372F-4141-9E6F-10A46354DA59}">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包括中、英文</t>
        </r>
        <r>
          <rPr>
            <b/>
            <sz val="9"/>
            <color indexed="81"/>
            <rFont val="Tahoma"/>
            <family val="2"/>
          </rPr>
          <t>)</t>
        </r>
        <r>
          <rPr>
            <b/>
            <sz val="9"/>
            <color indexed="81"/>
            <rFont val="細明體"/>
            <family val="3"/>
            <charset val="136"/>
          </rPr>
          <t xml:space="preserve">
中文、英文</t>
        </r>
        <r>
          <rPr>
            <b/>
            <sz val="9"/>
            <color indexed="81"/>
            <rFont val="Tahoma"/>
            <family val="2"/>
          </rPr>
          <t xml:space="preserve"> x1.25</t>
        </r>
      </text>
    </comment>
    <comment ref="D318" authorId="0" shapeId="0" xr:uid="{0E57C112-48E6-4391-BDCC-BE9C008A5580}">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包括中、英文</t>
        </r>
        <r>
          <rPr>
            <b/>
            <sz val="9"/>
            <color indexed="81"/>
            <rFont val="Tahoma"/>
            <family val="2"/>
          </rPr>
          <t>)</t>
        </r>
        <r>
          <rPr>
            <b/>
            <sz val="9"/>
            <color indexed="81"/>
            <rFont val="細明體"/>
            <family val="3"/>
            <charset val="136"/>
          </rPr>
          <t xml:space="preserve">
中文、英文</t>
        </r>
        <r>
          <rPr>
            <b/>
            <sz val="9"/>
            <color indexed="81"/>
            <rFont val="Tahoma"/>
            <family val="2"/>
          </rPr>
          <t xml:space="preserve"> x1.25</t>
        </r>
      </text>
    </comment>
    <comment ref="D319" authorId="0" shapeId="0" xr:uid="{45A055F5-C5D4-4203-87AD-8FFC273CDD6B}">
      <text>
        <r>
          <rPr>
            <b/>
            <sz val="9"/>
            <color indexed="81"/>
            <rFont val="Tahoma"/>
            <family val="2"/>
          </rPr>
          <t>2020</t>
        </r>
        <r>
          <rPr>
            <b/>
            <sz val="9"/>
            <color indexed="81"/>
            <rFont val="細明體"/>
            <family val="3"/>
            <charset val="136"/>
          </rPr>
          <t xml:space="preserve">年新科目
</t>
        </r>
        <r>
          <rPr>
            <b/>
            <sz val="9"/>
            <color indexed="81"/>
            <rFont val="Tahoma"/>
            <family val="2"/>
          </rPr>
          <t>Best 5 (</t>
        </r>
        <r>
          <rPr>
            <b/>
            <sz val="9"/>
            <color indexed="81"/>
            <rFont val="細明體"/>
            <family val="3"/>
            <charset val="136"/>
          </rPr>
          <t>包括英文</t>
        </r>
        <r>
          <rPr>
            <b/>
            <sz val="9"/>
            <color indexed="81"/>
            <rFont val="Tahoma"/>
            <family val="2"/>
          </rPr>
          <t>)</t>
        </r>
        <r>
          <rPr>
            <b/>
            <sz val="9"/>
            <color indexed="81"/>
            <rFont val="細明體"/>
            <family val="3"/>
            <charset val="136"/>
          </rPr>
          <t xml:space="preserve">
所有科目</t>
        </r>
        <r>
          <rPr>
            <b/>
            <sz val="9"/>
            <color indexed="81"/>
            <rFont val="Tahoma"/>
            <family val="2"/>
          </rPr>
          <t xml:space="preserve"> x1</t>
        </r>
        <r>
          <rPr>
            <sz val="9"/>
            <color indexed="81"/>
            <rFont val="Tahoma"/>
            <family val="2"/>
          </rPr>
          <t xml:space="preserve">
</t>
        </r>
      </text>
    </comment>
    <comment ref="D320" authorId="0" shapeId="0" xr:uid="{F607F1EC-84D9-40F5-8C08-EAB777B077C6}">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 xml:space="preserve">x1.5: </t>
        </r>
        <r>
          <rPr>
            <sz val="9"/>
            <color indexed="81"/>
            <rFont val="細明體"/>
            <family val="3"/>
            <charset val="136"/>
          </rPr>
          <t>中文、英文、生物</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中史、中國文學、化學、組合科學、數學、物理</t>
        </r>
      </text>
    </comment>
    <comment ref="D321" authorId="0" shapeId="0" xr:uid="{D1E388FA-BA5C-4F3A-BF18-B43F562EB59F}">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 xml:space="preserve">x1.5: </t>
        </r>
        <r>
          <rPr>
            <sz val="9"/>
            <color indexed="81"/>
            <rFont val="細明體"/>
            <family val="3"/>
            <charset val="136"/>
          </rPr>
          <t>中文、英文、化學</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生物、中國文學、組合科學、數學、物理</t>
        </r>
      </text>
    </comment>
    <comment ref="D322" authorId="0" shapeId="0" xr:uid="{251BF5D6-F2D9-4919-AD9E-5C52924C8F74}">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所有科目</t>
        </r>
        <r>
          <rPr>
            <b/>
            <sz val="9"/>
            <color indexed="81"/>
            <rFont val="Tahoma"/>
            <family val="2"/>
          </rPr>
          <t xml:space="preserve"> x1
</t>
        </r>
      </text>
    </comment>
    <comment ref="D323" authorId="0" shapeId="0" xr:uid="{E2682618-0A37-4766-875D-1683BD3D26EA}">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英文</t>
        </r>
        <r>
          <rPr>
            <b/>
            <sz val="9"/>
            <color indexed="81"/>
            <rFont val="Tahoma"/>
            <family val="2"/>
          </rPr>
          <t xml:space="preserve"> x2</t>
        </r>
      </text>
    </comment>
    <comment ref="D324" authorId="0" shapeId="0" xr:uid="{0AFBFF43-C02B-4EBB-8E6D-2044EF5EF512}">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D325" authorId="0" shapeId="0" xr:uid="{280EC3A4-09EE-4082-8DF5-A0C7176FD26E}">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英文</t>
        </r>
        <r>
          <rPr>
            <b/>
            <sz val="9"/>
            <color indexed="81"/>
            <rFont val="Tahoma"/>
            <family val="2"/>
          </rPr>
          <t xml:space="preserve"> x1.2</t>
        </r>
      </text>
    </comment>
    <comment ref="D326" authorId="0" shapeId="0" xr:uid="{3E3095CF-D4ED-42C3-9E2E-17B782FD6566}">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英文</t>
        </r>
        <r>
          <rPr>
            <b/>
            <sz val="9"/>
            <color indexed="81"/>
            <rFont val="Tahoma"/>
            <family val="2"/>
          </rPr>
          <t xml:space="preserve"> x1.2</t>
        </r>
      </text>
    </comment>
    <comment ref="D327" authorId="0" shapeId="0" xr:uid="{404165AB-F0F5-4628-B9E5-DA9F7008B56C}">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英文</t>
        </r>
        <r>
          <rPr>
            <b/>
            <sz val="9"/>
            <color indexed="81"/>
            <rFont val="Tahoma"/>
            <family val="2"/>
          </rPr>
          <t xml:space="preserve"> x2</t>
        </r>
        <r>
          <rPr>
            <b/>
            <sz val="9"/>
            <color indexed="81"/>
            <rFont val="細明體"/>
            <family val="3"/>
            <charset val="136"/>
          </rPr>
          <t>、通識</t>
        </r>
        <r>
          <rPr>
            <b/>
            <sz val="9"/>
            <color indexed="81"/>
            <rFont val="Tahoma"/>
            <family val="2"/>
          </rPr>
          <t xml:space="preserve"> x1.5</t>
        </r>
      </text>
    </comment>
    <comment ref="D328" authorId="0" shapeId="0" xr:uid="{DADCA3EA-5507-449C-8C13-B089CBF89902}">
      <text>
        <r>
          <rPr>
            <b/>
            <sz val="9"/>
            <color indexed="81"/>
            <rFont val="Tahoma"/>
            <family val="2"/>
          </rPr>
          <t>2020</t>
        </r>
        <r>
          <rPr>
            <b/>
            <sz val="9"/>
            <color indexed="81"/>
            <rFont val="細明體"/>
            <family val="3"/>
            <charset val="136"/>
          </rPr>
          <t>年新科目
中文、英文</t>
        </r>
        <r>
          <rPr>
            <b/>
            <sz val="9"/>
            <color indexed="81"/>
            <rFont val="Tahoma"/>
            <family val="2"/>
          </rPr>
          <t xml:space="preserve"> x1.5</t>
        </r>
      </text>
    </comment>
    <comment ref="D329" authorId="0" shapeId="0" xr:uid="{04E450D0-0F57-4AB1-BD21-08605B898EA2}">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D330" authorId="0" shapeId="0" xr:uid="{DD43F00B-178A-4849-B954-B777D6C3A9D0}">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 xml:space="preserve">收生
</t>
        </r>
        <r>
          <rPr>
            <b/>
            <sz val="9"/>
            <color indexed="81"/>
            <rFont val="Tahoma"/>
            <family val="2"/>
          </rPr>
          <t xml:space="preserve">x1.2: </t>
        </r>
        <r>
          <rPr>
            <sz val="9"/>
            <color indexed="81"/>
            <rFont val="細明體"/>
            <family val="3"/>
            <charset val="136"/>
          </rPr>
          <t>中國歷史、經濟、倫理及宗教科、地理、歷史、旅遊及款待</t>
        </r>
      </text>
    </comment>
    <comment ref="D331" authorId="0" shapeId="0" xr:uid="{A5A7930D-B2DD-41E4-AE79-E80E72078D7D}">
      <text>
        <r>
          <rPr>
            <b/>
            <sz val="9"/>
            <color indexed="81"/>
            <rFont val="Tahoma"/>
            <family val="2"/>
          </rPr>
          <t>Best 5 (</t>
        </r>
        <r>
          <rPr>
            <b/>
            <sz val="9"/>
            <color indexed="81"/>
            <rFont val="細明體"/>
            <family val="3"/>
            <charset val="136"/>
          </rPr>
          <t>包括英文</t>
        </r>
        <r>
          <rPr>
            <b/>
            <sz val="9"/>
            <color indexed="81"/>
            <rFont val="Tahoma"/>
            <family val="2"/>
          </rPr>
          <t>)</t>
        </r>
        <r>
          <rPr>
            <b/>
            <sz val="9"/>
            <color indexed="81"/>
            <rFont val="細明體"/>
            <family val="3"/>
            <charset val="136"/>
          </rPr>
          <t xml:space="preserve">
所有科目</t>
        </r>
        <r>
          <rPr>
            <b/>
            <sz val="9"/>
            <color indexed="81"/>
            <rFont val="Tahoma"/>
            <family val="2"/>
          </rPr>
          <t xml:space="preserve"> x1</t>
        </r>
        <r>
          <rPr>
            <sz val="9"/>
            <color indexed="81"/>
            <rFont val="Tahoma"/>
            <family val="2"/>
          </rPr>
          <t xml:space="preserve">
</t>
        </r>
      </text>
    </comment>
    <comment ref="D332" authorId="0" shapeId="0" xr:uid="{8EBEDA5F-9DCA-4AB7-8001-34D468E0873E}">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所有科目</t>
        </r>
        <r>
          <rPr>
            <b/>
            <sz val="9"/>
            <color indexed="81"/>
            <rFont val="Tahoma"/>
            <family val="2"/>
          </rPr>
          <t xml:space="preserve"> x1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Chan</author>
    <author>Michael</author>
  </authors>
  <commentList>
    <comment ref="C3" authorId="0" shapeId="0" xr:uid="{9EDAC8A8-310A-4450-97AE-5D66DD47D2B7}">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收生</t>
        </r>
        <r>
          <rPr>
            <sz val="9"/>
            <color indexed="81"/>
            <rFont val="Tahoma"/>
            <family val="2"/>
          </rPr>
          <t xml:space="preserve">
</t>
        </r>
      </text>
    </comment>
    <comment ref="D9" authorId="1" shapeId="0" xr:uid="{56EB8C38-6249-4A9C-97E2-4CB7C3F69BD6}">
      <text>
        <r>
          <rPr>
            <b/>
            <sz val="9"/>
            <color indexed="81"/>
            <rFont val="Tahoma"/>
            <family val="2"/>
          </rPr>
          <t>Combined Figure</t>
        </r>
        <r>
          <rPr>
            <sz val="9"/>
            <color indexed="81"/>
            <rFont val="Tahoma"/>
            <family val="2"/>
          </rPr>
          <t xml:space="preserve"> for JS6767, 6781 &amp; 6860</t>
        </r>
      </text>
    </comment>
    <comment ref="C10" authorId="0" shapeId="0" xr:uid="{56C56B87-B975-4137-9DC6-B545B055CB62}">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細明體"/>
            <family val="3"/>
            <charset val="136"/>
          </rPr>
          <t xml:space="preserve">
</t>
        </r>
      </text>
    </comment>
    <comment ref="C12" authorId="0" shapeId="0" xr:uid="{A3EE3641-26E2-4296-9B6C-E5086A8CA583}">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
</t>
        </r>
      </text>
    </comment>
    <comment ref="I12" authorId="1" shapeId="0" xr:uid="{E5AF5F92-44DB-4336-A5DF-47D7AF967B16}">
      <text>
        <r>
          <rPr>
            <b/>
            <sz val="9"/>
            <color indexed="81"/>
            <rFont val="Tahoma"/>
            <family val="2"/>
          </rPr>
          <t>One of the following at Level 3 or above:</t>
        </r>
        <r>
          <rPr>
            <sz val="9"/>
            <color indexed="81"/>
            <rFont val="Tahoma"/>
            <family val="2"/>
          </rPr>
          <t xml:space="preserve">
- Biology
- Chemistry
- Physics
- Combined Science
- ICT
- Integrated Science.
</t>
        </r>
      </text>
    </comment>
    <comment ref="J12" authorId="1" shapeId="0" xr:uid="{BBC51E6B-8D20-4DBE-846C-26150DE7E198}">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C13" authorId="0" shapeId="0" xr:uid="{78AD4570-7F00-461A-872D-9CF532A1BB01}">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
</t>
        </r>
      </text>
    </comment>
    <comment ref="J14" authorId="1" shapeId="0" xr:uid="{4723D089-20EB-4E06-8799-1012BA0E6CFF}">
      <text>
        <r>
          <rPr>
            <b/>
            <sz val="9"/>
            <color indexed="81"/>
            <rFont val="Tahoma"/>
            <family val="2"/>
          </rPr>
          <t>M1/2 is required.</t>
        </r>
        <r>
          <rPr>
            <sz val="9"/>
            <color indexed="81"/>
            <rFont val="Tahoma"/>
            <family val="2"/>
          </rPr>
          <t xml:space="preserve">
</t>
        </r>
      </text>
    </comment>
    <comment ref="I16" authorId="1" shapeId="0" xr:uid="{F6ECD94F-177E-404D-ACAC-A6C72BF840E9}">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I20" authorId="1" shapeId="0" xr:uid="{EAD752DF-270D-4532-8042-7BBDD4CCD4F1}">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I21" authorId="1" shapeId="0" xr:uid="{D1381FDB-B929-42E5-BAA9-D062181C0E80}">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I23" authorId="1" shapeId="0" xr:uid="{695C99F2-237D-44FF-AB5E-0FD7A7A29E47}">
      <text>
        <r>
          <rPr>
            <b/>
            <sz val="9"/>
            <color indexed="81"/>
            <rFont val="Tahoma"/>
            <family val="2"/>
          </rPr>
          <t>One of the following at Level 3 or above:</t>
        </r>
        <r>
          <rPr>
            <sz val="9"/>
            <color indexed="81"/>
            <rFont val="Tahoma"/>
            <family val="2"/>
          </rPr>
          <t xml:space="preserve">
- Physics
- Combined Science (With Physics)
</t>
        </r>
      </text>
    </comment>
    <comment ref="J23" authorId="1" shapeId="0" xr:uid="{7CFA54AD-CD3B-4EA5-AC86-24C585DB4AD2}">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I24" authorId="1" shapeId="0" xr:uid="{4CAD6B8C-BFD3-4D99-B962-9651EAD823DA}">
      <text>
        <r>
          <rPr>
            <b/>
            <sz val="9"/>
            <color indexed="81"/>
            <rFont val="Tahoma"/>
            <family val="2"/>
          </rPr>
          <t>One of the following at Level 3 or above:</t>
        </r>
        <r>
          <rPr>
            <sz val="9"/>
            <color indexed="81"/>
            <rFont val="Tahoma"/>
            <family val="2"/>
          </rPr>
          <t xml:space="preserve">
- Physics
- Combined Science (With Physics)
</t>
        </r>
      </text>
    </comment>
    <comment ref="J24" authorId="1" shapeId="0" xr:uid="{86CF5228-4357-4B5E-B8FF-98B0F545F796}">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I25" authorId="1" shapeId="0" xr:uid="{023FFB6C-2F07-459B-8BF5-799C19181FBC}">
      <text>
        <r>
          <rPr>
            <b/>
            <sz val="9"/>
            <color indexed="81"/>
            <rFont val="Tahoma"/>
            <family val="2"/>
          </rPr>
          <t>One of the following at Level 3 or above:</t>
        </r>
        <r>
          <rPr>
            <sz val="9"/>
            <color indexed="81"/>
            <rFont val="Tahoma"/>
            <family val="2"/>
          </rPr>
          <t xml:space="preserve">
- Physics
- Combined Science (With Physics)
</t>
        </r>
      </text>
    </comment>
    <comment ref="J25" authorId="1" shapeId="0" xr:uid="{659197D7-0D96-4BC7-9257-EADC7F1918F5}">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I26" authorId="1" shapeId="0" xr:uid="{6A175DB5-82E8-4A05-9105-8CCB7136D1B2}">
      <text>
        <r>
          <rPr>
            <b/>
            <sz val="9"/>
            <color indexed="81"/>
            <rFont val="Tahoma"/>
            <family val="2"/>
          </rPr>
          <t>One of the following at Level 3 or above:</t>
        </r>
        <r>
          <rPr>
            <sz val="9"/>
            <color indexed="81"/>
            <rFont val="Tahoma"/>
            <family val="2"/>
          </rPr>
          <t xml:space="preserve">
- Physics
- Combined Science (With Physics)
</t>
        </r>
      </text>
    </comment>
    <comment ref="J26" authorId="1" shapeId="0" xr:uid="{59B23B7B-62A2-483F-8F87-17EDFBDC1A3D}">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I29" authorId="0" shapeId="0" xr:uid="{C437644D-1440-4318-B918-C7F078CF5BF9}">
      <text>
        <r>
          <rPr>
            <b/>
            <sz val="9"/>
            <color indexed="81"/>
            <rFont val="Tahoma"/>
            <family val="2"/>
          </rPr>
          <t xml:space="preserve">One of the following at Level 3 or above: 
- </t>
        </r>
        <r>
          <rPr>
            <sz val="9"/>
            <color indexed="81"/>
            <rFont val="Tahoma"/>
            <family val="2"/>
          </rPr>
          <t>Chemistry
- Combined Science (With Chemistry)</t>
        </r>
      </text>
    </comment>
    <comment ref="I31" authorId="1" shapeId="0" xr:uid="{7E5A6D18-F6BE-4EA4-A8B0-A73ECAC757AA}">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I32" authorId="0" shapeId="0" xr:uid="{AABD270E-DC61-4B8D-A76A-99498F5446A7}">
      <text>
        <r>
          <rPr>
            <b/>
            <sz val="9"/>
            <color indexed="81"/>
            <rFont val="Tahoma"/>
            <family val="2"/>
          </rPr>
          <t xml:space="preserve">One of the following at Level 3 or above: 
- </t>
        </r>
        <r>
          <rPr>
            <sz val="9"/>
            <color indexed="81"/>
            <rFont val="Tahoma"/>
            <family val="2"/>
          </rPr>
          <t>Chemistry
- Combined Science (With Chemistry)</t>
        </r>
      </text>
    </comment>
    <comment ref="I33" authorId="0" shapeId="0" xr:uid="{27216040-A1F7-4AE4-A938-21A2CF78EEEC}">
      <text>
        <r>
          <rPr>
            <b/>
            <sz val="9"/>
            <color indexed="81"/>
            <rFont val="Tahoma"/>
            <family val="2"/>
          </rPr>
          <t xml:space="preserve">One of the following at Level 3 or above: 
- </t>
        </r>
        <r>
          <rPr>
            <sz val="9"/>
            <color indexed="81"/>
            <rFont val="Tahoma"/>
            <family val="2"/>
          </rPr>
          <t xml:space="preserve">Chemistry
- Biology
- Combined Science
</t>
        </r>
      </text>
    </comment>
    <comment ref="J34" authorId="1" shapeId="0" xr:uid="{D9E10820-A124-461A-9C22-870522C2D062}">
      <text>
        <r>
          <rPr>
            <b/>
            <sz val="9"/>
            <color indexed="81"/>
            <rFont val="Tahoma"/>
            <family val="2"/>
          </rPr>
          <t>M1/2 is required.</t>
        </r>
        <r>
          <rPr>
            <sz val="9"/>
            <color indexed="81"/>
            <rFont val="Tahoma"/>
            <family val="2"/>
          </rPr>
          <t xml:space="preserve">
</t>
        </r>
      </text>
    </comment>
    <comment ref="I35" authorId="1" shapeId="0" xr:uid="{68BF7047-E536-4F7E-844F-80B860047428}">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F40" authorId="0" shapeId="0" xr:uid="{92877344-F7EB-48F8-A943-BD59B0C6BEC6}">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J40" authorId="1" shapeId="0" xr:uid="{CF6FB7E2-4413-4B68-904F-3BB787439806}">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F41" authorId="0" shapeId="0" xr:uid="{51007983-EB06-46D6-AE02-5987352CCEA1}">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J41" authorId="1" shapeId="0" xr:uid="{7225A51A-7D2E-470E-925C-15A6A26991FC}">
      <text>
        <r>
          <rPr>
            <b/>
            <sz val="9"/>
            <color indexed="81"/>
            <rFont val="Tahoma"/>
            <family val="2"/>
          </rPr>
          <t>M1/2 is required.</t>
        </r>
        <r>
          <rPr>
            <sz val="9"/>
            <color indexed="81"/>
            <rFont val="Tahoma"/>
            <family val="2"/>
          </rPr>
          <t xml:space="preserve">
</t>
        </r>
      </text>
    </comment>
    <comment ref="C42" authorId="0" shapeId="0" xr:uid="{2212BCBB-FA16-4158-ACE7-BD3A4B5ABD63}">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
</t>
        </r>
      </text>
    </comment>
    <comment ref="F42" authorId="0" shapeId="0" xr:uid="{D8560749-1012-4BF3-89DB-3E72D5991512}">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F43" authorId="0" shapeId="0" xr:uid="{AA9F9BD0-257A-4559-9C4D-2D2CDC28439F}">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J43" authorId="1" shapeId="0" xr:uid="{DE8DFA1C-5979-49BC-9F0E-7D93A0B51A62}">
      <text>
        <r>
          <rPr>
            <b/>
            <sz val="9"/>
            <color indexed="81"/>
            <rFont val="Tahoma"/>
            <family val="2"/>
          </rPr>
          <t>M1/2 is required.</t>
        </r>
        <r>
          <rPr>
            <sz val="9"/>
            <color indexed="81"/>
            <rFont val="Tahoma"/>
            <family val="2"/>
          </rPr>
          <t xml:space="preserve">
</t>
        </r>
      </text>
    </comment>
    <comment ref="F44" authorId="0" shapeId="0" xr:uid="{0417DD5A-CB71-41CF-84C0-6DA0B2C5AAA7}">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E48" authorId="1" shapeId="0" xr:uid="{42CE3574-EBDE-46D6-B4CC-B9ACD3B2330C}">
      <text>
        <r>
          <rPr>
            <b/>
            <sz val="9"/>
            <color indexed="81"/>
            <rFont val="細明體"/>
            <family val="3"/>
            <charset val="136"/>
          </rPr>
          <t>入學要求</t>
        </r>
      </text>
    </comment>
    <comment ref="L48" authorId="1" shapeId="0" xr:uid="{2266F6E9-9718-48CB-9070-B80D433239FB}">
      <text>
        <r>
          <rPr>
            <b/>
            <sz val="9"/>
            <color indexed="81"/>
            <rFont val="細明體"/>
            <family val="3"/>
            <charset val="136"/>
          </rPr>
          <t>入學要求</t>
        </r>
      </text>
    </comment>
    <comment ref="C50" authorId="0" shapeId="0" xr:uid="{9F6FCBD2-8410-46CD-9A9F-F12055058781}">
      <text>
        <r>
          <rPr>
            <b/>
            <sz val="9"/>
            <color indexed="81"/>
            <rFont val="Tahoma"/>
            <family val="2"/>
          </rPr>
          <t>Chinese with heavier weighting
(</t>
        </r>
        <r>
          <rPr>
            <b/>
            <sz val="9"/>
            <color indexed="81"/>
            <rFont val="細明體"/>
            <family val="3"/>
            <charset val="136"/>
          </rPr>
          <t>此處作</t>
        </r>
        <r>
          <rPr>
            <b/>
            <sz val="9"/>
            <color indexed="81"/>
            <rFont val="Tahoma"/>
            <family val="2"/>
          </rPr>
          <t>x1.5)</t>
        </r>
      </text>
    </comment>
    <comment ref="B53" authorId="0" shapeId="0" xr:uid="{D1A16D77-3AF3-46F2-89DB-1375454E161C}">
      <text>
        <r>
          <rPr>
            <b/>
            <sz val="9"/>
            <color indexed="81"/>
            <rFont val="Tahoma"/>
            <family val="2"/>
          </rPr>
          <t>Literature in English is preferred</t>
        </r>
      </text>
    </comment>
    <comment ref="C53" authorId="0" shapeId="0" xr:uid="{FFE0DA73-581B-4866-8663-A99F0C606473}">
      <text>
        <r>
          <rPr>
            <b/>
            <sz val="9"/>
            <color indexed="81"/>
            <rFont val="Tahoma"/>
            <family val="2"/>
          </rPr>
          <t>English with heavier weighting
(</t>
        </r>
        <r>
          <rPr>
            <b/>
            <sz val="9"/>
            <color indexed="81"/>
            <rFont val="細明體"/>
            <family val="3"/>
            <charset val="136"/>
          </rPr>
          <t>此處作</t>
        </r>
        <r>
          <rPr>
            <b/>
            <sz val="9"/>
            <color indexed="81"/>
            <rFont val="Tahoma"/>
            <family val="2"/>
          </rPr>
          <t xml:space="preserve">x1.5)
</t>
        </r>
      </text>
    </comment>
    <comment ref="B54" authorId="0" shapeId="0" xr:uid="{4A5C7B5E-188B-4825-B1F0-96A29790B89B}">
      <text>
        <r>
          <rPr>
            <b/>
            <sz val="9"/>
            <color indexed="81"/>
            <rFont val="Tahoma"/>
            <family val="2"/>
          </rPr>
          <t>Visual Arts is preferred</t>
        </r>
        <r>
          <rPr>
            <sz val="9"/>
            <color indexed="81"/>
            <rFont val="Tahoma"/>
            <family val="2"/>
          </rPr>
          <t xml:space="preserve">
</t>
        </r>
      </text>
    </comment>
    <comment ref="B58" authorId="0" shapeId="0" xr:uid="{6D8AC549-7676-4495-B258-0A054F660190}">
      <text>
        <r>
          <rPr>
            <b/>
            <sz val="9"/>
            <color indexed="81"/>
            <rFont val="Tahoma"/>
            <family val="2"/>
          </rPr>
          <t>Music is preferred</t>
        </r>
        <r>
          <rPr>
            <sz val="9"/>
            <color indexed="81"/>
            <rFont val="Tahoma"/>
            <family val="2"/>
          </rPr>
          <t xml:space="preserve">
</t>
        </r>
      </text>
    </comment>
    <comment ref="C59" authorId="0" shapeId="0" xr:uid="{23DDC019-058A-4EB0-BA27-C208AA96A2BD}">
      <text>
        <r>
          <rPr>
            <b/>
            <sz val="9"/>
            <color indexed="81"/>
            <rFont val="Tahoma"/>
            <family val="2"/>
          </rPr>
          <t>English and Chinese must be included</t>
        </r>
      </text>
    </comment>
    <comment ref="B63" authorId="0" shapeId="0" xr:uid="{1BCED2DA-EA7A-4F9F-9EAD-C2E8C0C41DD3}">
      <text>
        <r>
          <rPr>
            <b/>
            <sz val="9"/>
            <color indexed="81"/>
            <rFont val="Tahoma"/>
            <family val="2"/>
          </rPr>
          <t>English Language at Level 4 or above is preferred</t>
        </r>
        <r>
          <rPr>
            <sz val="9"/>
            <color indexed="81"/>
            <rFont val="Tahoma"/>
            <family val="2"/>
          </rPr>
          <t xml:space="preserve">
</t>
        </r>
      </text>
    </comment>
    <comment ref="F63" authorId="1" shapeId="0" xr:uid="{DB97EF61-8894-4899-9123-CB5AF360739E}">
      <text>
        <r>
          <rPr>
            <b/>
            <sz val="9"/>
            <color indexed="81"/>
            <rFont val="Tahoma"/>
            <family val="2"/>
          </rPr>
          <t>English Language at Level 4 or above is preferred</t>
        </r>
        <r>
          <rPr>
            <sz val="8"/>
            <color indexed="81"/>
            <rFont val="Tahoma"/>
            <family val="2"/>
          </rPr>
          <t xml:space="preserve">
</t>
        </r>
      </text>
    </comment>
    <comment ref="C66" authorId="0" shapeId="0" xr:uid="{A7AC2F12-CA33-4DC4-BC0D-544E474E5B5C}">
      <text>
        <r>
          <rPr>
            <b/>
            <sz val="9"/>
            <color indexed="81"/>
            <rFont val="Tahoma"/>
            <family val="2"/>
          </rPr>
          <t>Tourism and Hospitality Studies (x 2)</t>
        </r>
        <r>
          <rPr>
            <sz val="9"/>
            <color indexed="81"/>
            <rFont val="Tahoma"/>
            <family val="2"/>
          </rPr>
          <t xml:space="preserve">
</t>
        </r>
      </text>
    </comment>
    <comment ref="B67" authorId="0" shapeId="0" xr:uid="{0297C76B-260A-476E-BD69-DC046A79745B}">
      <text>
        <r>
          <rPr>
            <b/>
            <sz val="9"/>
            <color indexed="81"/>
            <rFont val="Tahoma"/>
            <family val="2"/>
          </rPr>
          <t>Mathematics (Module 1 or 2) at Level 5 is required if Mathematics (Compulsory Part) is at Level 3 or 4</t>
        </r>
        <r>
          <rPr>
            <sz val="9"/>
            <color indexed="81"/>
            <rFont val="Tahoma"/>
            <family val="2"/>
          </rPr>
          <t xml:space="preserve">
</t>
        </r>
      </text>
    </comment>
    <comment ref="C67" authorId="0" shapeId="0" xr:uid="{F057CBF6-781B-45BD-BAE1-D95D83F5143D}">
      <text>
        <r>
          <rPr>
            <b/>
            <sz val="8"/>
            <color indexed="81"/>
            <rFont val="Tahoma"/>
            <family val="2"/>
          </rPr>
          <t>English Language and at least one best subject of Mathematics (Compulsory Part), Mathematics (Extended Part) Module I or II must be included</t>
        </r>
        <r>
          <rPr>
            <sz val="9"/>
            <color indexed="81"/>
            <rFont val="Tahoma"/>
            <family val="2"/>
          </rPr>
          <t xml:space="preserve">
</t>
        </r>
      </text>
    </comment>
    <comment ref="G67" authorId="1" shapeId="0" xr:uid="{BB9AE41A-3E6D-404B-A6D8-E43555EF0371}">
      <text>
        <r>
          <rPr>
            <b/>
            <sz val="9"/>
            <color indexed="81"/>
            <rFont val="Tahoma"/>
            <family val="2"/>
          </rPr>
          <t>(a) Mathematics (Module 1 or 2)
at Level 5 is required if
Mathematics (Compulsory
Part) is at Level 3 or 4</t>
        </r>
        <r>
          <rPr>
            <sz val="9"/>
            <color indexed="81"/>
            <rFont val="Tahoma"/>
            <family val="2"/>
          </rPr>
          <t xml:space="preserve">
</t>
        </r>
      </text>
    </comment>
    <comment ref="I67" authorId="1" shapeId="0" xr:uid="{68BF6479-F12D-4921-9340-8CEEDC92807D}">
      <text>
        <r>
          <rPr>
            <b/>
            <sz val="9"/>
            <color indexed="81"/>
            <rFont val="Tahoma"/>
            <family val="2"/>
          </rPr>
          <t>(a) Mathematics (Module 1 or 2)
at Level 5 is required if
Mathematics (Compulsory
Part) is at Level 3 or 4</t>
        </r>
        <r>
          <rPr>
            <sz val="9"/>
            <color indexed="81"/>
            <rFont val="Tahoma"/>
            <family val="2"/>
          </rPr>
          <t xml:space="preserve">
</t>
        </r>
      </text>
    </comment>
    <comment ref="J67" authorId="1" shapeId="0" xr:uid="{952A27F0-BE30-44DF-956B-BFECAEFD6864}">
      <text>
        <r>
          <rPr>
            <b/>
            <sz val="9"/>
            <color indexed="81"/>
            <rFont val="Tahoma"/>
            <family val="2"/>
          </rPr>
          <t>(a) Mathematics (Module 1 or 2)
at Level 5 is required if
Mathematics (Compulsory
Part) is at Level 3 or 4</t>
        </r>
        <r>
          <rPr>
            <sz val="9"/>
            <color indexed="81"/>
            <rFont val="Tahoma"/>
            <family val="2"/>
          </rPr>
          <t xml:space="preserve">
</t>
        </r>
      </text>
    </comment>
    <comment ref="C69" authorId="0" shapeId="0" xr:uid="{D6F7DB88-AC20-4E10-9A2A-EE9146185647}">
      <text>
        <r>
          <rPr>
            <b/>
            <sz val="9"/>
            <color indexed="81"/>
            <rFont val="Tahoma"/>
            <family val="2"/>
          </rPr>
          <t>English (x 2)
Mathematics (x 2)
The best one subject of M1/M2, Chemistry or Physics (x 1.5)</t>
        </r>
        <r>
          <rPr>
            <sz val="9"/>
            <color indexed="81"/>
            <rFont val="Tahoma"/>
            <family val="2"/>
          </rPr>
          <t xml:space="preserve">
</t>
        </r>
      </text>
    </comment>
    <comment ref="C71" authorId="0" shapeId="0" xr:uid="{2B46F1D3-054E-4645-9323-2A32C6DE9417}">
      <text>
        <r>
          <rPr>
            <b/>
            <sz val="9"/>
            <color indexed="81"/>
            <rFont val="Tahoma"/>
            <family val="2"/>
          </rPr>
          <t>English (x 2)
Chinese (x 1.5)
Liberal Studies (x 2)</t>
        </r>
        <r>
          <rPr>
            <sz val="9"/>
            <color indexed="81"/>
            <rFont val="Tahoma"/>
            <family val="2"/>
          </rPr>
          <t xml:space="preserve">
</t>
        </r>
      </text>
    </comment>
    <comment ref="C72" authorId="0" shapeId="0" xr:uid="{40EAE24F-7B28-4814-BA32-37B978EF6EAC}">
      <text>
        <r>
          <rPr>
            <b/>
            <sz val="9"/>
            <color indexed="81"/>
            <rFont val="Tahoma"/>
            <family val="2"/>
          </rPr>
          <t>English (x 2)
Mathematics (x 2)
M1 or M2 (x 2)</t>
        </r>
        <r>
          <rPr>
            <sz val="9"/>
            <color indexed="81"/>
            <rFont val="Tahoma"/>
            <family val="2"/>
          </rPr>
          <t xml:space="preserve">
</t>
        </r>
      </text>
    </comment>
    <comment ref="C75" authorId="0" shapeId="0" xr:uid="{2D808C2F-D3D5-4055-BA67-E5F8DC0DAEFD}">
      <text>
        <r>
          <rPr>
            <b/>
            <sz val="9"/>
            <color indexed="81"/>
            <rFont val="Tahoma"/>
            <family val="2"/>
          </rPr>
          <t>Chinese must be included
Chinese with heavier weighting
(</t>
        </r>
        <r>
          <rPr>
            <b/>
            <sz val="9"/>
            <color indexed="81"/>
            <rFont val="細明體"/>
            <family val="3"/>
            <charset val="136"/>
          </rPr>
          <t>此處作</t>
        </r>
        <r>
          <rPr>
            <b/>
            <sz val="9"/>
            <color indexed="81"/>
            <rFont val="Tahoma"/>
            <family val="2"/>
          </rPr>
          <t>x1.5)</t>
        </r>
      </text>
    </comment>
    <comment ref="C76" authorId="0" shapeId="0" xr:uid="{2E85A910-CFBF-473B-A218-6C2AB28C573E}">
      <text>
        <r>
          <rPr>
            <b/>
            <sz val="9"/>
            <color indexed="81"/>
            <rFont val="Tahoma"/>
            <family val="2"/>
          </rPr>
          <t>English must be included
English with heavier weighting
(</t>
        </r>
        <r>
          <rPr>
            <b/>
            <sz val="9"/>
            <color indexed="81"/>
            <rFont val="細明體"/>
            <family val="3"/>
            <charset val="136"/>
          </rPr>
          <t>此處作</t>
        </r>
        <r>
          <rPr>
            <b/>
            <sz val="9"/>
            <color indexed="81"/>
            <rFont val="Tahoma"/>
            <family val="2"/>
          </rPr>
          <t>x1.5)</t>
        </r>
        <r>
          <rPr>
            <sz val="9"/>
            <color indexed="81"/>
            <rFont val="Tahoma"/>
            <family val="2"/>
          </rPr>
          <t xml:space="preserve">
</t>
        </r>
      </text>
    </comment>
    <comment ref="C77" authorId="0" shapeId="0" xr:uid="{D4A406B1-24AF-45B7-9A00-F2F12D6E76B1}">
      <text>
        <r>
          <rPr>
            <b/>
            <sz val="9"/>
            <color indexed="81"/>
            <rFont val="細明體"/>
            <family val="3"/>
            <charset val="136"/>
          </rPr>
          <t>中文、英文</t>
        </r>
        <r>
          <rPr>
            <b/>
            <sz val="9"/>
            <color indexed="81"/>
            <rFont val="Tahoma"/>
            <family val="2"/>
          </rPr>
          <t xml:space="preserve"> x 1.2, </t>
        </r>
        <r>
          <rPr>
            <b/>
            <sz val="9"/>
            <color indexed="81"/>
            <rFont val="細明體"/>
            <family val="3"/>
            <charset val="136"/>
          </rPr>
          <t>數學、</t>
        </r>
        <r>
          <rPr>
            <b/>
            <sz val="9"/>
            <color indexed="81"/>
            <rFont val="Tahoma"/>
            <family val="2"/>
          </rPr>
          <t>M1/2 x 1.5</t>
        </r>
      </text>
    </comment>
    <comment ref="J77" authorId="1" shapeId="0" xr:uid="{252AC428-D60B-4204-84FC-A7CDFEB654BE}">
      <text>
        <r>
          <rPr>
            <b/>
            <sz val="9"/>
            <color indexed="81"/>
            <rFont val="Tahoma"/>
            <family val="2"/>
          </rPr>
          <t>M1/2 is required</t>
        </r>
      </text>
    </comment>
    <comment ref="B79" authorId="0" shapeId="0" xr:uid="{06B04C78-977D-4019-9DDF-9A7B4034028E}">
      <text>
        <r>
          <rPr>
            <b/>
            <sz val="9"/>
            <color indexed="81"/>
            <rFont val="Tahoma"/>
            <family val="2"/>
          </rPr>
          <t>(a) The following subjects are preferred:
• M1/M2
• Biology
• Chemistry
• Combined Science
• DAT
• ICT
• Physics</t>
        </r>
        <r>
          <rPr>
            <sz val="9"/>
            <color indexed="81"/>
            <rFont val="Tahoma"/>
            <family val="2"/>
          </rPr>
          <t xml:space="preserve">
</t>
        </r>
      </text>
    </comment>
    <comment ref="C79" authorId="0" shapeId="0" xr:uid="{862FE3E1-21B6-45D9-9DC0-112E59D61343}">
      <text>
        <r>
          <rPr>
            <b/>
            <sz val="9"/>
            <color indexed="81"/>
            <rFont val="Tahoma"/>
            <family val="2"/>
          </rPr>
          <t>Mathematics (x 1.5)
M1 or M2 (x 1.75)
Biology, Chemistry, Combined Science, DAT, ICT, Physics (x 1.5)
Liberal Studies (x 0.5)</t>
        </r>
        <r>
          <rPr>
            <sz val="9"/>
            <color indexed="81"/>
            <rFont val="Tahoma"/>
            <family val="2"/>
          </rPr>
          <t xml:space="preserve">
</t>
        </r>
      </text>
    </comment>
    <comment ref="I79" authorId="1" shapeId="0" xr:uid="{33E0951F-7E0C-4BC8-8DEA-978A4B90B036}">
      <text>
        <r>
          <rPr>
            <b/>
            <sz val="9"/>
            <color indexed="81"/>
            <rFont val="Tahoma"/>
            <family val="2"/>
          </rPr>
          <t>One of the following:
• M1/M2
• Biology
• Chemistry
• Combined Science
• Physics</t>
        </r>
      </text>
    </comment>
    <comment ref="B80" authorId="0" shapeId="0" xr:uid="{E8E85727-B61D-4D1D-8D2D-E3C6310C4108}">
      <text>
        <r>
          <rPr>
            <b/>
            <sz val="9"/>
            <color indexed="81"/>
            <rFont val="Tahoma"/>
            <family val="2"/>
          </rPr>
          <t>The following subjects are preferred:
• M1/M2
• Biology
• BAFS
• Chemistry
• Combined Science
• Economics
• ICT
• Physics</t>
        </r>
        <r>
          <rPr>
            <sz val="9"/>
            <color indexed="81"/>
            <rFont val="Tahoma"/>
            <family val="2"/>
          </rPr>
          <t xml:space="preserve">
</t>
        </r>
      </text>
    </comment>
    <comment ref="C80" authorId="0" shapeId="0" xr:uid="{BA7CB0BF-0803-4007-B8FF-2079974B0693}">
      <text>
        <r>
          <rPr>
            <b/>
            <sz val="9"/>
            <color indexed="81"/>
            <rFont val="Tahoma"/>
            <family val="2"/>
          </rPr>
          <t>English (x 1.25)
Chinese (x 1.25)
Mathematics (x 1.75)
M1 or M2 (x 1.75)
Biology, BAFS, Chemistry, Combined Science, Economics, ICT, Physics (x 1.5)</t>
        </r>
        <r>
          <rPr>
            <sz val="9"/>
            <color indexed="81"/>
            <rFont val="Tahoma"/>
            <family val="2"/>
          </rPr>
          <t xml:space="preserve">
</t>
        </r>
      </text>
    </comment>
    <comment ref="C81" authorId="0" shapeId="0" xr:uid="{41133780-9402-487E-907B-7444F53AC29B}">
      <text>
        <r>
          <rPr>
            <b/>
            <sz val="9"/>
            <color indexed="81"/>
            <rFont val="Tahoma"/>
            <family val="2"/>
          </rPr>
          <t>Mathematics (x 1.5)
M1 or M2 (x 1.5)
Physics (x 1.5)</t>
        </r>
        <r>
          <rPr>
            <sz val="9"/>
            <color indexed="81"/>
            <rFont val="Tahoma"/>
            <family val="2"/>
          </rPr>
          <t xml:space="preserve">
</t>
        </r>
      </text>
    </comment>
    <comment ref="I81" authorId="1" shapeId="0" xr:uid="{FCAB8AD6-413F-4E72-ADF0-1B515AEC1BB2}">
      <text>
        <r>
          <rPr>
            <b/>
            <sz val="9"/>
            <color indexed="81"/>
            <rFont val="Tahoma"/>
            <family val="2"/>
          </rPr>
          <t>One of the following:
• M1/M2
• Biology
• Chemistry
• Combined Science
• ICT
• Physics</t>
        </r>
      </text>
    </comment>
    <comment ref="C82" authorId="0" shapeId="0" xr:uid="{48035AF5-AC02-4B9B-819F-1D419A33BBCA}">
      <text>
        <r>
          <rPr>
            <b/>
            <sz val="9"/>
            <color indexed="81"/>
            <rFont val="Tahoma"/>
            <family val="2"/>
          </rPr>
          <t>English (x 1.5)
The best one subject of Mathematics or M1 or M2 (x 1.5)
Biology, Chemistry, Combined Science, Physics (x 1.5)</t>
        </r>
        <r>
          <rPr>
            <sz val="9"/>
            <color indexed="81"/>
            <rFont val="Tahoma"/>
            <family val="2"/>
          </rPr>
          <t xml:space="preserve">
</t>
        </r>
      </text>
    </comment>
    <comment ref="I82" authorId="1" shapeId="0" xr:uid="{EDE43511-09AE-4727-BC72-CA2C9EBD1E24}">
      <text>
        <r>
          <rPr>
            <b/>
            <sz val="9"/>
            <color indexed="81"/>
            <rFont val="Tahoma"/>
            <family val="2"/>
          </rPr>
          <t>One of the following:
• M1/M2
• Biology
• Chemistry
• Combined Science
• Physics</t>
        </r>
      </text>
    </comment>
    <comment ref="C83" authorId="0" shapeId="0" xr:uid="{B9FC6C8E-2478-4E88-AC2F-C050B1BF3F23}">
      <text>
        <r>
          <rPr>
            <b/>
            <sz val="9"/>
            <color indexed="81"/>
            <rFont val="Tahoma"/>
            <family val="2"/>
          </rPr>
          <t>Mathematics (x 1.5)
M1 or M2 (x 1.5)
Biology, Chemistry, Combined Science, DAT, ICT, Physics (x 1.5)
Economics, Geography (x 1.2)
Liberal Studies (x 0.5)</t>
        </r>
        <r>
          <rPr>
            <sz val="9"/>
            <color indexed="81"/>
            <rFont val="Tahoma"/>
            <family val="2"/>
          </rPr>
          <t xml:space="preserve">
</t>
        </r>
      </text>
    </comment>
    <comment ref="I83" authorId="1" shapeId="0" xr:uid="{40413CFE-7DD5-4DD1-BE92-A3F3C1480E1D}">
      <text>
        <r>
          <rPr>
            <b/>
            <sz val="9"/>
            <color indexed="81"/>
            <rFont val="Tahoma"/>
            <family val="2"/>
          </rPr>
          <t>One of the following:
• M1/M2
• Biology
• Chemistry
• Combined Science
• DAT
• ICT
• Physics</t>
        </r>
        <r>
          <rPr>
            <sz val="9"/>
            <color indexed="81"/>
            <rFont val="Tahoma"/>
            <family val="2"/>
          </rPr>
          <t xml:space="preserve">
</t>
        </r>
      </text>
    </comment>
    <comment ref="B84" authorId="0" shapeId="0" xr:uid="{E48B0EA5-9BF8-4D84-B9CA-9A8996360F4A}">
      <text>
        <r>
          <rPr>
            <b/>
            <sz val="9"/>
            <color indexed="81"/>
            <rFont val="Tahoma"/>
            <family val="2"/>
          </rPr>
          <t>The following subjects are preferred:
• M1/M2
• Biology
• Chemistry
• Combined Science
• ICT
• Physics
^ Candidates with Level 4 in Mathematics (Compulsory Part) and good results in other HKDSE subjects will be exceptionally considered on a case by case basis.</t>
        </r>
        <r>
          <rPr>
            <sz val="9"/>
            <color indexed="81"/>
            <rFont val="Tahoma"/>
            <family val="2"/>
          </rPr>
          <t xml:space="preserve">
</t>
        </r>
      </text>
    </comment>
    <comment ref="C84" authorId="0" shapeId="0" xr:uid="{AB884B1F-8C7E-487F-828C-368AD819185A}">
      <text>
        <r>
          <rPr>
            <b/>
            <sz val="9"/>
            <color indexed="81"/>
            <rFont val="Tahoma"/>
            <family val="2"/>
          </rPr>
          <t>English (x 1.25)
Chinese (x 1.25)
Mathematics (x 1.75)
M1 or M2 (x 1.75)
Biology, Chemistry, Combined Science, ICT, Physics (x 1.5)</t>
        </r>
      </text>
    </comment>
    <comment ref="G84" authorId="1" shapeId="0" xr:uid="{9C80C263-7F82-48BC-9CE8-67FE8B4A1EDC}">
      <text>
        <r>
          <rPr>
            <b/>
            <sz val="9"/>
            <color indexed="81"/>
            <rFont val="Tahoma"/>
            <family val="2"/>
          </rPr>
          <t>^ Candidates with Level 4 in
Mathematics (Compulsory Part) and
good results in other HKDSE subjects
will be exceptionally considered on a
case by case basis.</t>
        </r>
      </text>
    </comment>
    <comment ref="B85" authorId="0" shapeId="0" xr:uid="{041E9448-E445-426F-A059-721E0C209949}">
      <text>
        <r>
          <rPr>
            <b/>
            <sz val="9"/>
            <color indexed="81"/>
            <rFont val="Tahoma"/>
            <family val="2"/>
          </rPr>
          <t>a) Chemistry is preferred
(b) Biology is preferred
(c) Taking a third elective and/or M1/M2 will be strongly recommended</t>
        </r>
        <r>
          <rPr>
            <sz val="9"/>
            <color indexed="81"/>
            <rFont val="Tahoma"/>
            <family val="2"/>
          </rPr>
          <t xml:space="preserve">
</t>
        </r>
      </text>
    </comment>
    <comment ref="I85" authorId="1" shapeId="0" xr:uid="{52E02D94-16F9-42F0-9C31-59314EB06687}">
      <text>
        <r>
          <rPr>
            <b/>
            <sz val="9"/>
            <color indexed="81"/>
            <rFont val="Tahoma"/>
            <family val="2"/>
          </rPr>
          <t>At Least one of the following:
Biology or Chemistry</t>
        </r>
      </text>
    </comment>
    <comment ref="B86" authorId="0" shapeId="0" xr:uid="{777DFA81-6D88-4D7A-9028-F864A4262165}">
      <text>
        <r>
          <rPr>
            <b/>
            <sz val="9"/>
            <color indexed="81"/>
            <rFont val="Tahoma"/>
            <family val="2"/>
          </rPr>
          <t>(a) Chemistry is preferred
(b) Biology is preferred
(c) Taking a third elective and/or M1/M2 will be strongly recommended
(d) Additional requirements: Total score &gt; 46 in 7 subjects with 5** in ANY 4 subjects</t>
        </r>
        <r>
          <rPr>
            <sz val="9"/>
            <color indexed="81"/>
            <rFont val="Tahoma"/>
            <family val="2"/>
          </rPr>
          <t xml:space="preserve">
</t>
        </r>
      </text>
    </comment>
    <comment ref="I86" authorId="1" shapeId="0" xr:uid="{ED8EB31B-7DED-4986-A2EF-A639A92D4FB3}">
      <text>
        <r>
          <rPr>
            <b/>
            <sz val="9"/>
            <color indexed="81"/>
            <rFont val="Tahoma"/>
            <family val="2"/>
          </rPr>
          <t>At Least one of the following:
Biology or Chemistry</t>
        </r>
      </text>
    </comment>
    <comment ref="B87" authorId="0" shapeId="0" xr:uid="{BE656466-358C-4AD4-84C9-9C96F9B1E569}">
      <text>
        <r>
          <rPr>
            <b/>
            <sz val="9"/>
            <color indexed="81"/>
            <rFont val="Tahoma"/>
            <family val="2"/>
          </rPr>
          <t>Preferred subjects for one of the two electives:
Biology
Chemistry
Combined Science
Integrated Science
Physics</t>
        </r>
        <r>
          <rPr>
            <sz val="9"/>
            <color indexed="81"/>
            <rFont val="Tahoma"/>
            <family val="2"/>
          </rPr>
          <t xml:space="preserve">
</t>
        </r>
      </text>
    </comment>
    <comment ref="C87" authorId="0" shapeId="0" xr:uid="{BC70D7BD-F805-48FD-9218-39B20FD29A6A}">
      <text>
        <r>
          <rPr>
            <b/>
            <sz val="9"/>
            <color indexed="81"/>
            <rFont val="Tahoma"/>
            <family val="2"/>
          </rPr>
          <t>Subjects with heavier weighting:
• Biology, Chemistry, Combined Science, Integrated Science, Physics
(</t>
        </r>
        <r>
          <rPr>
            <b/>
            <sz val="9"/>
            <color indexed="81"/>
            <rFont val="細明體"/>
            <family val="3"/>
            <charset val="136"/>
          </rPr>
          <t>此處作</t>
        </r>
        <r>
          <rPr>
            <b/>
            <sz val="9"/>
            <color indexed="81"/>
            <rFont val="Tahoma"/>
            <family val="2"/>
          </rPr>
          <t>x1.5)</t>
        </r>
      </text>
    </comment>
    <comment ref="B90" authorId="0" shapeId="0" xr:uid="{1F062710-A564-4B1E-8589-4A17472C26BE}">
      <text>
        <r>
          <rPr>
            <b/>
            <sz val="9"/>
            <color indexed="81"/>
            <rFont val="Tahoma"/>
            <family val="2"/>
          </rPr>
          <t>Preferred subjects for one of the two electives:
Biology
Chemistry
Combined Science
Integrated Science
Physics</t>
        </r>
      </text>
    </comment>
    <comment ref="B91" authorId="0" shapeId="0" xr:uid="{F4DB6C5E-77CB-46A0-8636-A02F530146CC}">
      <text>
        <r>
          <rPr>
            <b/>
            <sz val="9"/>
            <color indexed="81"/>
            <rFont val="Tahoma"/>
            <family val="2"/>
          </rPr>
          <t>(a) Category A subjects only</t>
        </r>
      </text>
    </comment>
    <comment ref="I91" authorId="1" shapeId="0" xr:uid="{C167AE95-FB34-49D4-AD16-D707D2FA21EF}">
      <text>
        <r>
          <rPr>
            <b/>
            <sz val="9"/>
            <color indexed="81"/>
            <rFont val="Tahoma"/>
            <family val="2"/>
          </rPr>
          <t>At Least one of the following:
Biology or Chemistry</t>
        </r>
      </text>
    </comment>
    <comment ref="B92" authorId="0" shapeId="0" xr:uid="{0EA29B5C-F32C-413F-A60A-ACCB9B212511}">
      <text>
        <r>
          <rPr>
            <b/>
            <sz val="9"/>
            <color indexed="81"/>
            <rFont val="Tahoma"/>
            <family val="2"/>
          </rPr>
          <t>(a) Category A subjects only
(b) Preferred subjects:
• M1/M2
• Biology
• Chemistry
• Combined Science
• Economics
• Geography
• ICT
• Integrated Science
• Physics
• Tech and Living (FST)</t>
        </r>
        <r>
          <rPr>
            <sz val="9"/>
            <color indexed="81"/>
            <rFont val="Tahoma"/>
            <family val="2"/>
          </rPr>
          <t xml:space="preserve">
</t>
        </r>
      </text>
    </comment>
    <comment ref="C92" authorId="0" shapeId="0" xr:uid="{F42F2AFF-A15E-4E23-BE2A-69D7D9AAD1AA}">
      <text>
        <r>
          <rPr>
            <b/>
            <sz val="9"/>
            <color indexed="81"/>
            <rFont val="Tahoma"/>
            <family val="2"/>
          </rPr>
          <t>English or Chinese (x 1.5)
Mathematics (x 2)
M1 or M2 (x 2)
Biology, Chemistry, Combined Science or Integrated Science, Physics (x 2)
Economics, Geography, ICT, Tech and Living (FST) (x 1.5)
Note: A maximum of 3 subjects will be weighted heavier in the total score of Best 5 subjects</t>
        </r>
      </text>
    </comment>
    <comment ref="I92" authorId="1" shapeId="0" xr:uid="{AD70F4D3-C5FD-48C2-8B7F-F79B6F851C7F}">
      <text>
        <r>
          <rPr>
            <b/>
            <sz val="9"/>
            <color indexed="81"/>
            <rFont val="Tahoma"/>
            <family val="2"/>
          </rPr>
          <t>One of the following:
• M1/M2
• Biology
• Chemistry
• Combined Science
• Integrated Science
• Physics</t>
        </r>
      </text>
    </comment>
    <comment ref="C93" authorId="0" shapeId="0" xr:uid="{8BAA3E51-028F-4068-A3C9-5A9D56B3A990}">
      <text>
        <r>
          <rPr>
            <b/>
            <sz val="9"/>
            <color indexed="81"/>
            <rFont val="Tahoma"/>
            <family val="2"/>
          </rPr>
          <t>Subjects with heavier weighting:
• English
• Mathematics
• M1 or M2
• Biology, Chemistry, Combined Science, Geography, Integrated Science, Physics
(</t>
        </r>
        <r>
          <rPr>
            <b/>
            <sz val="9"/>
            <color indexed="81"/>
            <rFont val="細明體"/>
            <family val="3"/>
            <charset val="136"/>
          </rPr>
          <t>此處作</t>
        </r>
        <r>
          <rPr>
            <b/>
            <sz val="9"/>
            <color indexed="81"/>
            <rFont val="Tahoma"/>
            <family val="2"/>
          </rPr>
          <t>x1.5)</t>
        </r>
      </text>
    </comment>
    <comment ref="I93" authorId="1" shapeId="0" xr:uid="{79D1856A-37D6-4B6B-A18E-9D3ACDF393CA}">
      <text>
        <r>
          <rPr>
            <b/>
            <sz val="9"/>
            <color indexed="81"/>
            <rFont val="Tahoma"/>
            <family val="2"/>
          </rPr>
          <t>One of the following:
• M1/M2
• Chemistry
• Combined Science
• Geography
• Physics</t>
        </r>
      </text>
    </comment>
    <comment ref="J93" authorId="1" shapeId="0" xr:uid="{BDC54745-B160-4733-BFDB-38F9A7398482}">
      <text>
        <r>
          <rPr>
            <b/>
            <sz val="9"/>
            <color indexed="81"/>
            <rFont val="Tahoma"/>
            <family val="2"/>
          </rPr>
          <t>One of the following:
• M1/M2
• Biology
• Chemistry
• Combined Science
• Geography
• Integrated Science
• Physics</t>
        </r>
        <r>
          <rPr>
            <sz val="9"/>
            <color indexed="81"/>
            <rFont val="Tahoma"/>
            <family val="2"/>
          </rPr>
          <t xml:space="preserve">
</t>
        </r>
      </text>
    </comment>
    <comment ref="B94" authorId="0" shapeId="0" xr:uid="{5B0BCCB1-745F-40F2-93C7-6D96A5DD2BFA}">
      <text>
        <r>
          <rPr>
            <b/>
            <sz val="9"/>
            <color indexed="81"/>
            <rFont val="Tahoma"/>
            <family val="2"/>
          </rPr>
          <t>Good performance in M1/M2 will attract an additional bonus</t>
        </r>
        <r>
          <rPr>
            <sz val="9"/>
            <color indexed="81"/>
            <rFont val="Tahoma"/>
            <family val="2"/>
          </rPr>
          <t xml:space="preserve">
</t>
        </r>
      </text>
    </comment>
    <comment ref="C94" authorId="0" shapeId="0" xr:uid="{498F8F95-D130-4AD3-873F-D01721B87205}">
      <text>
        <r>
          <rPr>
            <b/>
            <sz val="9"/>
            <color indexed="81"/>
            <rFont val="Tahoma"/>
            <family val="2"/>
          </rPr>
          <t>The programme places much heavier emphasis on M1 or M2</t>
        </r>
        <r>
          <rPr>
            <sz val="9"/>
            <color indexed="81"/>
            <rFont val="Tahoma"/>
            <family val="2"/>
          </rPr>
          <t xml:space="preserve">
</t>
        </r>
        <r>
          <rPr>
            <b/>
            <sz val="9"/>
            <color indexed="81"/>
            <rFont val="Tahoma"/>
            <family val="2"/>
          </rPr>
          <t>(</t>
        </r>
        <r>
          <rPr>
            <b/>
            <sz val="9"/>
            <color indexed="81"/>
            <rFont val="細明體"/>
            <family val="3"/>
            <charset val="136"/>
          </rPr>
          <t>此處作</t>
        </r>
        <r>
          <rPr>
            <b/>
            <sz val="9"/>
            <color indexed="81"/>
            <rFont val="Tahoma"/>
            <family val="2"/>
          </rPr>
          <t>x2)</t>
        </r>
      </text>
    </comment>
    <comment ref="I94" authorId="1" shapeId="0" xr:uid="{0AAFC6E2-4298-4060-BAAE-DEDD660D9E19}">
      <text>
        <r>
          <rPr>
            <b/>
            <sz val="9"/>
            <color indexed="81"/>
            <rFont val="Tahoma"/>
            <family val="2"/>
          </rPr>
          <t>One of the following:
• Biology
• Chemistry
• Combined Science
• Economics
• Geography
• ICT
• Integrated Science
• Physics
• Tech and Living (FST)</t>
        </r>
        <r>
          <rPr>
            <sz val="9"/>
            <color indexed="81"/>
            <rFont val="Tahoma"/>
            <family val="2"/>
          </rPr>
          <t xml:space="preserve">
</t>
        </r>
      </text>
    </comment>
    <comment ref="J94" authorId="1" shapeId="0" xr:uid="{1F84702D-0145-4156-A25B-258615CECDCD}">
      <text>
        <r>
          <rPr>
            <b/>
            <sz val="9"/>
            <color indexed="81"/>
            <rFont val="Tahoma"/>
            <family val="2"/>
          </rPr>
          <t>M1/M2</t>
        </r>
        <r>
          <rPr>
            <sz val="9"/>
            <color indexed="81"/>
            <rFont val="Tahoma"/>
            <family val="2"/>
          </rPr>
          <t xml:space="preserve">
</t>
        </r>
      </text>
    </comment>
    <comment ref="B95" authorId="0" shapeId="0" xr:uid="{17F66416-A041-48C6-B9A8-1EDE7517DC06}">
      <text>
        <r>
          <rPr>
            <b/>
            <sz val="9"/>
            <color indexed="81"/>
            <rFont val="Tahoma"/>
            <family val="2"/>
          </rPr>
          <t>(a) M1/M2 is preferred</t>
        </r>
        <r>
          <rPr>
            <sz val="9"/>
            <color indexed="81"/>
            <rFont val="Tahoma"/>
            <family val="2"/>
          </rPr>
          <t xml:space="preserve">
</t>
        </r>
      </text>
    </comment>
    <comment ref="C95" authorId="0" shapeId="0" xr:uid="{6203EB74-672B-498C-8814-235197FF2A28}">
      <text>
        <r>
          <rPr>
            <b/>
            <sz val="9"/>
            <color indexed="81"/>
            <rFont val="Tahoma"/>
            <family val="2"/>
          </rPr>
          <t>Subjects with heavier weighting:
• Mathematics
• M1 or M2
• Physics
(</t>
        </r>
        <r>
          <rPr>
            <b/>
            <sz val="9"/>
            <color indexed="81"/>
            <rFont val="細明體"/>
            <family val="3"/>
            <charset val="136"/>
          </rPr>
          <t>此處作</t>
        </r>
        <r>
          <rPr>
            <b/>
            <sz val="9"/>
            <color indexed="81"/>
            <rFont val="Tahoma"/>
            <family val="2"/>
          </rPr>
          <t>x1.5)</t>
        </r>
      </text>
    </comment>
    <comment ref="I95" authorId="1" shapeId="0" xr:uid="{C169BABC-6559-4601-B621-52D377953258}">
      <text>
        <r>
          <rPr>
            <b/>
            <sz val="9"/>
            <color indexed="81"/>
            <rFont val="Tahoma"/>
            <family val="2"/>
          </rPr>
          <t>Physics</t>
        </r>
        <r>
          <rPr>
            <sz val="9"/>
            <color indexed="81"/>
            <rFont val="Tahoma"/>
            <family val="2"/>
          </rPr>
          <t xml:space="preserve">
</t>
        </r>
      </text>
    </comment>
    <comment ref="J95" authorId="1" shapeId="0" xr:uid="{F2261BF8-D420-4C01-91F1-101FD9658721}">
      <text>
        <r>
          <rPr>
            <b/>
            <sz val="9"/>
            <color indexed="81"/>
            <rFont val="Tahoma"/>
            <family val="2"/>
          </rPr>
          <t>One of the following:
• M1/M2 (Preferred)
• Biology
• Chemistry
• Combined Science
• Economics
• Geography
• ICT
• Integrated Science
• Tech and Living (FST)</t>
        </r>
        <r>
          <rPr>
            <sz val="9"/>
            <color indexed="81"/>
            <rFont val="Tahoma"/>
            <family val="2"/>
          </rPr>
          <t xml:space="preserve">
</t>
        </r>
      </text>
    </comment>
    <comment ref="B96" authorId="0" shapeId="0" xr:uid="{3B710527-133D-41D7-9DF8-8DA6C5CB43CC}">
      <text>
        <r>
          <rPr>
            <b/>
            <sz val="9"/>
            <color indexed="81"/>
            <rFont val="Tahoma"/>
            <family val="2"/>
          </rPr>
          <t>Category A subjects only</t>
        </r>
        <r>
          <rPr>
            <sz val="9"/>
            <color indexed="81"/>
            <rFont val="Tahoma"/>
            <family val="2"/>
          </rPr>
          <t xml:space="preserve">
</t>
        </r>
      </text>
    </comment>
    <comment ref="C96" authorId="0" shapeId="0" xr:uid="{6EF2B73B-3C4B-45C3-98E0-072A90B9D05A}">
      <text>
        <r>
          <rPr>
            <b/>
            <sz val="9"/>
            <color indexed="81"/>
            <rFont val="Tahoma"/>
            <family val="2"/>
          </rPr>
          <t>Mathematics (x 2)
M1 or M2 (x 2)</t>
        </r>
        <r>
          <rPr>
            <sz val="9"/>
            <color indexed="81"/>
            <rFont val="Tahoma"/>
            <family val="2"/>
          </rPr>
          <t xml:space="preserve">
</t>
        </r>
      </text>
    </comment>
    <comment ref="I96" authorId="1" shapeId="0" xr:uid="{7A1673D1-CD1A-48CB-9576-6F50ECA01B5A}">
      <text>
        <r>
          <rPr>
            <b/>
            <sz val="9"/>
            <color indexed="81"/>
            <rFont val="Tahoma"/>
            <family val="2"/>
          </rPr>
          <t>(a) Category A subjects only</t>
        </r>
        <r>
          <rPr>
            <sz val="9"/>
            <color indexed="81"/>
            <rFont val="Tahoma"/>
            <family val="2"/>
          </rPr>
          <t xml:space="preserve">
</t>
        </r>
      </text>
    </comment>
    <comment ref="J96" authorId="1" shapeId="0" xr:uid="{578E2E81-2DEF-4748-8033-480169F60AEC}">
      <text>
        <r>
          <rPr>
            <b/>
            <sz val="9"/>
            <color indexed="81"/>
            <rFont val="Tahoma"/>
            <family val="2"/>
          </rPr>
          <t>M1/2 is required</t>
        </r>
      </text>
    </comment>
    <comment ref="C97" authorId="0" shapeId="0" xr:uid="{0EB8205E-E26B-4636-9F4F-302CA29B0DF8}">
      <text>
        <r>
          <rPr>
            <b/>
            <sz val="9"/>
            <color indexed="81"/>
            <rFont val="Tahoma"/>
            <family val="2"/>
          </rPr>
          <t>English (x 1.3)</t>
        </r>
        <r>
          <rPr>
            <sz val="9"/>
            <color indexed="81"/>
            <rFont val="Tahoma"/>
            <family val="2"/>
          </rPr>
          <t xml:space="preserve">
</t>
        </r>
      </text>
    </comment>
    <comment ref="C98" authorId="0" shapeId="0" xr:uid="{D29576F2-715F-45FF-AFF5-C18906B72F3C}">
      <text>
        <r>
          <rPr>
            <b/>
            <sz val="9"/>
            <color indexed="81"/>
            <rFont val="Tahoma"/>
            <family val="2"/>
          </rPr>
          <t>English (x 1.5)
Mathematics (x 1.5)</t>
        </r>
        <r>
          <rPr>
            <sz val="9"/>
            <color indexed="81"/>
            <rFont val="Tahoma"/>
            <family val="2"/>
          </rPr>
          <t xml:space="preserve">
</t>
        </r>
      </text>
    </comment>
    <comment ref="C99" authorId="0" shapeId="0" xr:uid="{208BDC8D-B70F-4641-899D-118733FF33A9}">
      <text>
        <r>
          <rPr>
            <b/>
            <sz val="9"/>
            <color indexed="81"/>
            <rFont val="Tahoma"/>
            <family val="2"/>
          </rPr>
          <t>Mathematics (x 1.5)
The best one subject of M1/M2, Chemistry, Economics or Physics (x 1.5)</t>
        </r>
      </text>
    </comment>
    <comment ref="C100" authorId="0" shapeId="0" xr:uid="{D7F81E87-85D6-4CB8-9829-C3D4FCA1ED42}">
      <text>
        <r>
          <rPr>
            <b/>
            <sz val="9"/>
            <color indexed="81"/>
            <rFont val="Tahoma"/>
            <family val="2"/>
          </rPr>
          <t>English (x 1.5)</t>
        </r>
        <r>
          <rPr>
            <sz val="9"/>
            <color indexed="81"/>
            <rFont val="Tahoma"/>
            <family val="2"/>
          </rPr>
          <t xml:space="preserve">
</t>
        </r>
      </text>
    </comment>
    <comment ref="C102" authorId="0" shapeId="0" xr:uid="{809856AA-5E0D-4C2C-82A3-B5ACA3EE54A6}">
      <text>
        <r>
          <rPr>
            <b/>
            <sz val="9"/>
            <color indexed="81"/>
            <rFont val="Tahoma"/>
            <family val="2"/>
          </rPr>
          <t>English (x 1.5)
Chinese (x 1.25) Liberal Studies (x 1.25)</t>
        </r>
        <r>
          <rPr>
            <sz val="9"/>
            <color indexed="81"/>
            <rFont val="Tahoma"/>
            <family val="2"/>
          </rPr>
          <t xml:space="preserve">
</t>
        </r>
      </text>
    </comment>
    <comment ref="C103" authorId="0" shapeId="0" xr:uid="{F6B065C5-CE7D-4E00-A406-6E7A7C7449AD}">
      <text>
        <r>
          <rPr>
            <b/>
            <sz val="9"/>
            <color indexed="81"/>
            <rFont val="Tahoma"/>
            <family val="2"/>
          </rPr>
          <t>English (x 1.3)
Chinese (x 1.3)</t>
        </r>
        <r>
          <rPr>
            <sz val="9"/>
            <color indexed="81"/>
            <rFont val="Tahoma"/>
            <family val="2"/>
          </rPr>
          <t xml:space="preserve">
</t>
        </r>
      </text>
    </comment>
    <comment ref="C104" authorId="0" shapeId="0" xr:uid="{312C9EA4-9CD7-461D-80E5-23646EB059F8}">
      <text>
        <r>
          <rPr>
            <b/>
            <sz val="9"/>
            <color indexed="81"/>
            <rFont val="Tahoma"/>
            <family val="2"/>
          </rPr>
          <t>English (x 1.3)</t>
        </r>
        <r>
          <rPr>
            <sz val="9"/>
            <color indexed="81"/>
            <rFont val="Tahoma"/>
            <family val="2"/>
          </rPr>
          <t xml:space="preserve">
</t>
        </r>
      </text>
    </comment>
    <comment ref="C105" authorId="0" shapeId="0" xr:uid="{11909E99-19D8-494B-A1E5-8E1A6BC1C87F}">
      <text>
        <r>
          <rPr>
            <b/>
            <sz val="9"/>
            <color indexed="81"/>
            <rFont val="Tahoma"/>
            <family val="2"/>
          </rPr>
          <t>English (x 1.5)
Mathematics (x 1.5)</t>
        </r>
      </text>
    </comment>
    <comment ref="C107" authorId="0" shapeId="0" xr:uid="{FDFB797C-0580-4926-AF2F-704026FA4D63}">
      <text>
        <r>
          <rPr>
            <b/>
            <sz val="9"/>
            <color indexed="81"/>
            <rFont val="Tahoma"/>
            <family val="2"/>
          </rPr>
          <t>English (x 1.5)
Liberal Studies (x 1.5)</t>
        </r>
        <r>
          <rPr>
            <sz val="9"/>
            <color indexed="81"/>
            <rFont val="Tahoma"/>
            <family val="2"/>
          </rPr>
          <t xml:space="preserve">
</t>
        </r>
      </text>
    </comment>
    <comment ref="C108" authorId="0" shapeId="0" xr:uid="{BA7FB75D-9AE7-41A5-BAAF-D40F71669660}">
      <text>
        <r>
          <rPr>
            <b/>
            <sz val="9"/>
            <color indexed="81"/>
            <rFont val="Tahoma"/>
            <family val="2"/>
          </rPr>
          <t>English (x 1.5)</t>
        </r>
        <r>
          <rPr>
            <sz val="9"/>
            <color indexed="81"/>
            <rFont val="Tahoma"/>
            <family val="2"/>
          </rPr>
          <t xml:space="preserve">
</t>
        </r>
      </text>
    </comment>
    <comment ref="C110" authorId="0" shapeId="0" xr:uid="{B635D196-00FE-4855-ADD3-6E25BE1D9662}">
      <text>
        <r>
          <rPr>
            <b/>
            <sz val="9"/>
            <color indexed="81"/>
            <rFont val="Tahoma"/>
            <family val="2"/>
          </rPr>
          <t>English (x 2)
Chinese (x 1.5)
Liberal Studies (x 2)</t>
        </r>
        <r>
          <rPr>
            <sz val="9"/>
            <color indexed="81"/>
            <rFont val="Tahoma"/>
            <family val="2"/>
          </rPr>
          <t xml:space="preserve">
</t>
        </r>
      </text>
    </comment>
    <comment ref="E112" authorId="1" shapeId="0" xr:uid="{02A0EDBF-003C-4031-8CBE-8E3838B16D15}">
      <text>
        <r>
          <rPr>
            <b/>
            <sz val="9"/>
            <color indexed="81"/>
            <rFont val="細明體"/>
            <family val="3"/>
            <charset val="136"/>
          </rPr>
          <t>入學要求</t>
        </r>
      </text>
    </comment>
    <comment ref="L112" authorId="1" shapeId="0" xr:uid="{FB2D47C1-A1E7-42FE-9551-6D29BC3AA122}">
      <text>
        <r>
          <rPr>
            <b/>
            <sz val="9"/>
            <color indexed="81"/>
            <rFont val="細明體"/>
            <family val="3"/>
            <charset val="136"/>
          </rPr>
          <t>入學要求</t>
        </r>
      </text>
    </comment>
    <comment ref="C113" authorId="0" shapeId="0" xr:uid="{BDD2A055-EF0C-4B4F-856B-52204124180D}">
      <text>
        <r>
          <rPr>
            <b/>
            <sz val="9"/>
            <color indexed="81"/>
            <rFont val="細明體"/>
            <family val="3"/>
            <charset val="136"/>
          </rPr>
          <t>英文</t>
        </r>
        <r>
          <rPr>
            <b/>
            <sz val="9"/>
            <color indexed="81"/>
            <rFont val="Tahoma"/>
            <family val="2"/>
          </rPr>
          <t xml:space="preserve"> x1 </t>
        </r>
        <r>
          <rPr>
            <b/>
            <sz val="9"/>
            <color indexed="81"/>
            <rFont val="細明體"/>
            <family val="3"/>
            <charset val="136"/>
          </rPr>
          <t>數學</t>
        </r>
        <r>
          <rPr>
            <b/>
            <sz val="9"/>
            <color indexed="81"/>
            <rFont val="Tahoma"/>
            <family val="2"/>
          </rPr>
          <t xml:space="preserve"> x1
+</t>
        </r>
        <r>
          <rPr>
            <b/>
            <sz val="9"/>
            <color indexed="81"/>
            <rFont val="細明體"/>
            <family val="3"/>
            <charset val="136"/>
          </rPr>
          <t xml:space="preserve">
最佳兩科</t>
        </r>
        <r>
          <rPr>
            <b/>
            <sz val="9"/>
            <color indexed="81"/>
            <rFont val="Tahoma"/>
            <family val="2"/>
          </rPr>
          <t xml:space="preserve"> x1
(</t>
        </r>
        <r>
          <rPr>
            <sz val="9"/>
            <color indexed="81"/>
            <rFont val="Tahoma"/>
            <family val="2"/>
          </rPr>
          <t xml:space="preserve">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
</t>
        </r>
        <r>
          <rPr>
            <b/>
            <sz val="9"/>
            <color indexed="81"/>
            <rFont val="細明體"/>
            <family val="3"/>
            <charset val="136"/>
          </rPr>
          <t>最佳一科</t>
        </r>
        <r>
          <rPr>
            <b/>
            <sz val="9"/>
            <color indexed="81"/>
            <rFont val="Tahoma"/>
            <family val="2"/>
          </rPr>
          <t xml:space="preserve"> x1</t>
        </r>
        <r>
          <rPr>
            <sz val="9"/>
            <color indexed="81"/>
            <rFont val="Tahoma"/>
            <family val="2"/>
          </rPr>
          <t xml:space="preserve">
</t>
        </r>
      </text>
    </comment>
    <comment ref="I113" authorId="0" shapeId="0" xr:uid="{1EAE822B-BFF9-4554-A79B-8A67D2548509}">
      <text>
        <r>
          <rPr>
            <b/>
            <sz val="9"/>
            <color indexed="81"/>
            <rFont val="細明體"/>
            <family val="3"/>
            <charset val="136"/>
          </rPr>
          <t>以下兩科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text>
    </comment>
    <comment ref="J113" authorId="0" shapeId="0" xr:uid="{46AB9FD7-158B-481F-A5B3-6D2F586CE1A6}">
      <text>
        <r>
          <rPr>
            <b/>
            <sz val="9"/>
            <color indexed="81"/>
            <rFont val="細明體"/>
            <family val="3"/>
            <charset val="136"/>
          </rPr>
          <t>以下兩科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C114" authorId="0" shapeId="0" xr:uid="{CC579994-9B51-421E-881A-AC7214880784}">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I114" authorId="0" shapeId="0" xr:uid="{C1F60640-3E95-40A3-A4D3-A86120DD4E56}">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C115" authorId="0" shapeId="0" xr:uid="{F2E500E0-CA41-44F5-B14B-E2857AD12689}">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t>
        </r>
        <r>
          <rPr>
            <sz val="9"/>
            <color indexed="81"/>
            <rFont val="細明體"/>
            <family val="3"/>
            <charset val="136"/>
          </rPr>
          <t xml:space="preserve">
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x2
(M1/2 /</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 x1</t>
        </r>
      </text>
    </comment>
    <comment ref="I115" authorId="0" shapeId="0" xr:uid="{52AB80F7-4182-4609-B6CB-AAACCD36B249}">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C116" authorId="0" shapeId="0" xr:uid="{DE2CC3DC-F513-4391-B17D-31737722DAC7}">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I116" authorId="0" shapeId="0" xr:uid="{50A87A98-91CE-40CF-90BE-EB80F07FA5CF}">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 ref="C117" authorId="0" shapeId="0" xr:uid="{16FA4A0E-54D0-4E55-8AB7-A0B677BDCFDC}">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/DAT)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t>
        </r>
      </text>
    </comment>
    <comment ref="I117" authorId="0" shapeId="0" xr:uid="{B56D7D5B-E26C-4450-B2CF-D2460FFED317}">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 / DAT</t>
        </r>
      </text>
    </comment>
    <comment ref="C118" authorId="0" shapeId="0" xr:uid="{7C3A8680-F544-4220-B1A3-903224D5C592}">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19" authorId="0" shapeId="0" xr:uid="{0D7C42D1-DDF6-4137-BAF4-9C27B30070C9}">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20" authorId="0" shapeId="0" xr:uid="{8634D524-4E0F-44D0-A53A-1469D9C27828}">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121" authorId="0" shapeId="0" xr:uid="{7098BD1D-13FB-4E41-9377-5F058BD1189A}">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22" authorId="0" shapeId="0" xr:uid="{51F3A9C1-FBD4-46B6-BE5C-712FD28AB6BE}">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23" authorId="0" shapeId="0" xr:uid="{DD34FDDF-DCBA-4018-887B-93641041DD4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24" authorId="0" shapeId="0" xr:uid="{F63531C0-30F6-4BF9-BD0B-7D5D92AC9FAF}">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25" authorId="0" shapeId="0" xr:uid="{EB634431-0369-47DB-A8AC-F4073268EB1D}">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26" authorId="0" shapeId="0" xr:uid="{A8EFD3C1-F5DA-4F5B-B02F-6B9871CB655D}">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27" authorId="0" shapeId="0" xr:uid="{A24061F8-41CE-46F2-B88D-B9C611F59214}">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128" authorId="0" shapeId="0" xr:uid="{498F06BC-6A0B-4640-9A69-1BE4932B45CC}">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129" authorId="0" shapeId="0" xr:uid="{62AC4121-A949-4733-A146-E91CE72E90B4}">
      <text>
        <r>
          <rPr>
            <sz val="9"/>
            <color indexed="81"/>
            <rFont val="細明體"/>
            <family val="3"/>
            <charset val="136"/>
          </rPr>
          <t>英文</t>
        </r>
        <r>
          <rPr>
            <sz val="9"/>
            <color indexed="81"/>
            <rFont val="Tahoma"/>
            <family val="2"/>
          </rPr>
          <t xml:space="preserve"> x2 </t>
        </r>
        <r>
          <rPr>
            <sz val="9"/>
            <color indexed="81"/>
            <rFont val="細明體"/>
            <family val="3"/>
            <charset val="136"/>
          </rPr>
          <t>中文</t>
        </r>
        <r>
          <rPr>
            <sz val="9"/>
            <color indexed="81"/>
            <rFont val="Tahoma"/>
            <family val="2"/>
          </rPr>
          <t xml:space="preserve"> x1.5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C130" authorId="0" shapeId="0" xr:uid="{683F343F-6B57-4574-A65B-9E53D37CE663}">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C131" authorId="0" shapeId="0" xr:uid="{4B2490AF-90A2-4C17-BE4F-64DAAA100FB2}">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最佳下列理科</t>
        </r>
        <r>
          <rPr>
            <sz val="9"/>
            <color indexed="81"/>
            <rFont val="Tahoma"/>
            <family val="2"/>
          </rPr>
          <t xml:space="preserve"> x1.5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ml:space="preserve">)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t>
        </r>
      </text>
    </comment>
    <comment ref="I131" authorId="1" shapeId="0" xr:uid="{D55ECA89-7D63-40D4-81DD-8E8483061CFF}">
      <text>
        <r>
          <rPr>
            <b/>
            <sz val="9"/>
            <color indexed="81"/>
            <rFont val="細明體"/>
            <family val="3"/>
            <charset val="136"/>
          </rPr>
          <t>以下一科</t>
        </r>
        <r>
          <rPr>
            <b/>
            <sz val="9"/>
            <color indexed="81"/>
            <rFont val="Tahoma"/>
            <family val="2"/>
          </rPr>
          <t>:</t>
        </r>
        <r>
          <rPr>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text>
    </comment>
    <comment ref="C132" authorId="0" shapeId="0" xr:uid="{F72AD90C-35C6-455B-B79D-A922D0A31B37}">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C133" authorId="0" shapeId="0" xr:uid="{E6D802E4-7268-4192-ABBA-4AC3F978AF2E}">
      <text>
        <r>
          <rPr>
            <b/>
            <sz val="9"/>
            <color indexed="81"/>
            <rFont val="細明體"/>
            <family val="3"/>
            <charset val="136"/>
          </rPr>
          <t>英文</t>
        </r>
        <r>
          <rPr>
            <b/>
            <sz val="9"/>
            <color indexed="81"/>
            <rFont val="Tahoma"/>
            <family val="2"/>
          </rPr>
          <t xml:space="preserve"> x2 </t>
        </r>
        <r>
          <rPr>
            <b/>
            <sz val="9"/>
            <color indexed="81"/>
            <rFont val="細明體"/>
            <family val="3"/>
            <charset val="136"/>
          </rPr>
          <t>數學</t>
        </r>
        <r>
          <rPr>
            <b/>
            <sz val="9"/>
            <color indexed="81"/>
            <rFont val="Tahoma"/>
            <family val="2"/>
          </rPr>
          <t xml:space="preserve"> x2</t>
        </r>
        <r>
          <rPr>
            <sz val="9"/>
            <color indexed="81"/>
            <rFont val="Tahoma"/>
            <family val="2"/>
          </rPr>
          <t xml:space="preserve">
+
</t>
        </r>
        <r>
          <rPr>
            <b/>
            <sz val="9"/>
            <color indexed="81"/>
            <rFont val="Tahoma"/>
            <family val="2"/>
          </rPr>
          <t>M1/2 x 2</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最佳下列科目</t>
        </r>
        <r>
          <rPr>
            <b/>
            <sz val="9"/>
            <color indexed="81"/>
            <rFont val="Tahoma"/>
            <family val="2"/>
          </rPr>
          <t xml:space="preserve"> x1.5</t>
        </r>
        <r>
          <rPr>
            <sz val="9"/>
            <color indexed="81"/>
            <rFont val="Tahoma"/>
            <family val="2"/>
          </rPr>
          <t xml:space="preserve">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綜合科學</t>
        </r>
        <r>
          <rPr>
            <sz val="9"/>
            <color indexed="81"/>
            <rFont val="Tahoma"/>
            <family val="2"/>
          </rPr>
          <t>/</t>
        </r>
        <r>
          <rPr>
            <sz val="9"/>
            <color indexed="81"/>
            <rFont val="細明體"/>
            <family val="3"/>
            <charset val="136"/>
          </rPr>
          <t>經濟</t>
        </r>
        <r>
          <rPr>
            <sz val="9"/>
            <color indexed="81"/>
            <rFont val="Tahoma"/>
            <family val="2"/>
          </rPr>
          <t xml:space="preserve">)
+
</t>
        </r>
        <r>
          <rPr>
            <b/>
            <sz val="9"/>
            <color indexed="81"/>
            <rFont val="細明體"/>
            <family val="3"/>
            <charset val="136"/>
          </rPr>
          <t>最佳</t>
        </r>
        <r>
          <rPr>
            <b/>
            <sz val="9"/>
            <color indexed="81"/>
            <rFont val="Tahoma"/>
            <family val="2"/>
          </rPr>
          <t>3</t>
        </r>
        <r>
          <rPr>
            <b/>
            <sz val="9"/>
            <color indexed="81"/>
            <rFont val="細明體"/>
            <family val="3"/>
            <charset val="136"/>
          </rPr>
          <t>科</t>
        </r>
        <r>
          <rPr>
            <b/>
            <sz val="9"/>
            <color indexed="81"/>
            <rFont val="Tahoma"/>
            <family val="2"/>
          </rPr>
          <t xml:space="preserve"> x1</t>
        </r>
        <r>
          <rPr>
            <sz val="9"/>
            <color indexed="81"/>
            <rFont val="Tahoma"/>
            <family val="2"/>
          </rPr>
          <t xml:space="preserve">
</t>
        </r>
      </text>
    </comment>
    <comment ref="I133" authorId="0" shapeId="0" xr:uid="{DBF61E14-D6AD-445A-9AB1-E95AF8F528D3}">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綜合科學</t>
        </r>
        <r>
          <rPr>
            <sz val="9"/>
            <color indexed="81"/>
            <rFont val="Tahoma"/>
            <family val="2"/>
          </rPr>
          <t xml:space="preserve">/
</t>
        </r>
        <r>
          <rPr>
            <sz val="9"/>
            <color indexed="81"/>
            <rFont val="細明體"/>
            <family val="3"/>
            <charset val="136"/>
          </rPr>
          <t>經濟</t>
        </r>
        <r>
          <rPr>
            <sz val="9"/>
            <color indexed="81"/>
            <rFont val="Tahoma"/>
            <family val="2"/>
          </rPr>
          <t>/ M1/2</t>
        </r>
      </text>
    </comment>
    <comment ref="C134" authorId="0" shapeId="0" xr:uid="{59267C85-D9A3-4605-A246-B977ED2960CA}">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C135" authorId="0" shapeId="0" xr:uid="{0AE2D9E7-813E-4A09-AC21-7CCB9DB8AEC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(M1/2 x1.5)
</t>
        </r>
      </text>
    </comment>
    <comment ref="I135" authorId="0" shapeId="0" xr:uid="{B253DBB3-75AA-4FBC-8688-785D4D1D4ED5}">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 ref="E138" authorId="1" shapeId="0" xr:uid="{DC45ABB4-5175-4C2B-9C4F-2B9E74028777}">
      <text>
        <r>
          <rPr>
            <b/>
            <sz val="9"/>
            <color indexed="81"/>
            <rFont val="細明體"/>
            <family val="3"/>
            <charset val="136"/>
          </rPr>
          <t>入學要求</t>
        </r>
      </text>
    </comment>
    <comment ref="L138" authorId="1" shapeId="0" xr:uid="{68BB6E55-2DEB-46BF-90B9-7C64EE5C6197}">
      <text>
        <r>
          <rPr>
            <b/>
            <sz val="9"/>
            <color indexed="81"/>
            <rFont val="細明體"/>
            <family val="3"/>
            <charset val="136"/>
          </rPr>
          <t>入學要求</t>
        </r>
      </text>
    </comment>
    <comment ref="E196" authorId="1" shapeId="0" xr:uid="{767FEBFF-086E-4450-BD88-0664EF10E550}">
      <text>
        <r>
          <rPr>
            <b/>
            <sz val="9"/>
            <color indexed="81"/>
            <rFont val="細明體"/>
            <family val="3"/>
            <charset val="136"/>
          </rPr>
          <t>入學要求</t>
        </r>
      </text>
    </comment>
    <comment ref="E221" authorId="1" shapeId="0" xr:uid="{0DBC83F9-489C-4400-A05A-DE7BB4C57589}">
      <text>
        <r>
          <rPr>
            <b/>
            <sz val="9"/>
            <color indexed="81"/>
            <rFont val="細明體"/>
            <family val="3"/>
            <charset val="136"/>
          </rPr>
          <t>入學要求</t>
        </r>
      </text>
    </comment>
    <comment ref="L221" authorId="1" shapeId="0" xr:uid="{578C3F6B-FCED-4650-8CB5-77BC0B091102}">
      <text>
        <r>
          <rPr>
            <b/>
            <sz val="9"/>
            <color indexed="81"/>
            <rFont val="細明體"/>
            <family val="3"/>
            <charset val="136"/>
          </rPr>
          <t>入學要求</t>
        </r>
      </text>
    </comment>
    <comment ref="I240" authorId="1" shapeId="0" xr:uid="{6868B32D-70CD-4FB2-9253-7CCB53F91492}">
      <text>
        <r>
          <rPr>
            <b/>
            <sz val="9"/>
            <color indexed="81"/>
            <rFont val="Tahoma"/>
            <family val="2"/>
          </rPr>
          <t>Level 3</t>
        </r>
        <r>
          <rPr>
            <sz val="9"/>
            <color indexed="81"/>
            <rFont val="Tahoma"/>
            <family val="2"/>
          </rPr>
          <t xml:space="preserve"> in one elective subject from:
- Chemistry
- Combined Science
(Chemistry and Physics)
- Physics</t>
        </r>
      </text>
    </comment>
    <comment ref="G257" authorId="1" shapeId="0" xr:uid="{8A62FF04-9D58-458C-928F-7A595B83DE87}">
      <text>
        <r>
          <rPr>
            <b/>
            <sz val="9"/>
            <color indexed="81"/>
            <rFont val="Tahoma"/>
            <family val="2"/>
          </rPr>
          <t>Level 3</t>
        </r>
        <r>
          <rPr>
            <sz val="9"/>
            <color indexed="81"/>
            <rFont val="Tahoma"/>
            <family val="2"/>
          </rPr>
          <t xml:space="preserve"> in Mathematics if no other science subject is taken
</t>
        </r>
      </text>
    </comment>
    <comment ref="I257" authorId="1" shapeId="0" xr:uid="{990956B7-5E4E-4222-8A20-44A4ACFCFCB1}">
      <text>
        <r>
          <rPr>
            <b/>
            <sz val="9"/>
            <color indexed="81"/>
            <rFont val="Tahoma"/>
            <family val="2"/>
          </rPr>
          <t>Level 3</t>
        </r>
        <r>
          <rPr>
            <sz val="9"/>
            <color indexed="81"/>
            <rFont val="Tahoma"/>
            <family val="2"/>
          </rPr>
          <t xml:space="preserve"> in one elective subject from:
- Chemistry
- Combined Science
(Biology and Chemistry)
- Combined Science
(Chemistry and Physics)</t>
        </r>
      </text>
    </comment>
    <comment ref="J257" authorId="1" shapeId="0" xr:uid="{F74F54D2-B63A-4D9C-95E8-3B0042A72333}">
      <text>
        <r>
          <rPr>
            <b/>
            <sz val="9"/>
            <color indexed="81"/>
            <rFont val="Tahoma"/>
            <family val="2"/>
          </rPr>
          <t xml:space="preserve">Level 3 </t>
        </r>
        <r>
          <rPr>
            <sz val="9"/>
            <color indexed="81"/>
            <rFont val="Tahoma"/>
            <family val="2"/>
          </rPr>
          <t>in one elective subject from:
- Biology
- BAFS
- Chemistry
- Combined Science
- Integrated Science
- DAT
- ICT
- Physics</t>
        </r>
      </text>
    </comment>
    <comment ref="I258" authorId="1" shapeId="0" xr:uid="{A401E3C8-BB5E-4081-B1D7-9EC7E42D12DE}">
      <text>
        <r>
          <rPr>
            <b/>
            <sz val="9"/>
            <color indexed="81"/>
            <rFont val="Tahoma"/>
            <family val="2"/>
          </rPr>
          <t>Level 3</t>
        </r>
        <r>
          <rPr>
            <sz val="9"/>
            <color indexed="81"/>
            <rFont val="Tahoma"/>
            <family val="2"/>
          </rPr>
          <t xml:space="preserve"> in one elective subject from:
- Biology
- Chemistry
- Combined Science
- ICT
- M1/M2
- Physics</t>
        </r>
      </text>
    </comment>
    <comment ref="I259" authorId="1" shapeId="0" xr:uid="{D3AA273F-6404-47E8-836B-3A6B2ECEBB7E}">
      <text>
        <r>
          <rPr>
            <b/>
            <sz val="9"/>
            <color indexed="81"/>
            <rFont val="Tahoma"/>
            <family val="2"/>
          </rPr>
          <t>Level 3</t>
        </r>
        <r>
          <rPr>
            <sz val="9"/>
            <color indexed="81"/>
            <rFont val="Tahoma"/>
            <family val="2"/>
          </rPr>
          <t xml:space="preserve"> in one elective subject from:
- Biology
- Chemistry
- Combined Science
- Integrated Science
- ICT
- M1/M2
- Physics</t>
        </r>
      </text>
    </comment>
    <comment ref="I260" authorId="1" shapeId="0" xr:uid="{C95BDF5C-0C67-4576-AEA3-4230F27B4F01}">
      <text>
        <r>
          <rPr>
            <b/>
            <sz val="9"/>
            <color indexed="81"/>
            <rFont val="Tahoma"/>
            <family val="2"/>
          </rPr>
          <t xml:space="preserve">Level 3 </t>
        </r>
        <r>
          <rPr>
            <sz val="9"/>
            <color indexed="81"/>
            <rFont val="Tahoma"/>
            <family val="2"/>
          </rPr>
          <t>in one elective subject from:
Biology
BAFS
Chemistry
DAT
M1/M2
Physics
Science (Combined or Integrated)</t>
        </r>
      </text>
    </comment>
    <comment ref="I261" authorId="1" shapeId="0" xr:uid="{099653FB-8CD3-47E2-B072-FBDDF8ABD75E}">
      <text>
        <r>
          <rPr>
            <b/>
            <sz val="9"/>
            <color indexed="81"/>
            <rFont val="Tahoma"/>
            <family val="2"/>
          </rPr>
          <t>Level 3</t>
        </r>
        <r>
          <rPr>
            <sz val="9"/>
            <color indexed="81"/>
            <rFont val="Tahoma"/>
            <family val="2"/>
          </rPr>
          <t xml:space="preserve"> in one elective subject from:
- Chemistry
- Combined Science
- M1/2
- DAT
- Physics</t>
        </r>
      </text>
    </comment>
    <comment ref="I262" authorId="1" shapeId="0" xr:uid="{B7185B5E-26EA-4AC4-A13C-327040F8F192}">
      <text>
        <r>
          <rPr>
            <b/>
            <sz val="9"/>
            <color indexed="81"/>
            <rFont val="Tahoma"/>
            <family val="2"/>
          </rPr>
          <t>Level 3</t>
        </r>
        <r>
          <rPr>
            <sz val="9"/>
            <color indexed="81"/>
            <rFont val="Tahoma"/>
            <family val="2"/>
          </rPr>
          <t xml:space="preserve"> in one elective subject from:
- Chemistry
- Combined Science
(Biology and Physics)
- Combined Science
(Chemistry and Physics)
- DAT
- Physics</t>
        </r>
      </text>
    </comment>
    <comment ref="I263" authorId="1" shapeId="0" xr:uid="{5A3DC01B-C1D4-47C1-B400-0382F7312384}">
      <text>
        <r>
          <rPr>
            <b/>
            <sz val="9"/>
            <color indexed="81"/>
            <rFont val="Tahoma"/>
            <family val="2"/>
          </rPr>
          <t xml:space="preserve">Level 3 </t>
        </r>
        <r>
          <rPr>
            <sz val="9"/>
            <color indexed="81"/>
            <rFont val="Tahoma"/>
            <family val="2"/>
          </rPr>
          <t xml:space="preserve">in one elective subject from:
- Chemistry
- Combined Science (Biology and Physics)
- Combined Science (Chemistry and Physics)
- DAT
- Physics
</t>
        </r>
      </text>
    </comment>
    <comment ref="I264" authorId="1" shapeId="0" xr:uid="{6E4D748A-9BE7-4F4D-AC3F-63D5B4ABFAAD}">
      <text>
        <r>
          <rPr>
            <b/>
            <sz val="9"/>
            <color indexed="81"/>
            <rFont val="Tahoma"/>
            <family val="2"/>
          </rPr>
          <t>Level 3</t>
        </r>
        <r>
          <rPr>
            <sz val="9"/>
            <color indexed="81"/>
            <rFont val="Tahoma"/>
            <family val="2"/>
          </rPr>
          <t xml:space="preserve"> in one elective subject from:
- Biology
- Chemistry
- Combined Science
- Physics</t>
        </r>
      </text>
    </comment>
    <comment ref="I265" authorId="1" shapeId="0" xr:uid="{7B0B570A-2061-4671-99A9-A623633B3272}">
      <text>
        <r>
          <rPr>
            <b/>
            <sz val="9"/>
            <color indexed="81"/>
            <rFont val="Tahoma"/>
            <family val="2"/>
          </rPr>
          <t>Level 3</t>
        </r>
        <r>
          <rPr>
            <sz val="9"/>
            <color indexed="81"/>
            <rFont val="Tahoma"/>
            <family val="2"/>
          </rPr>
          <t xml:space="preserve"> in one elective subject from:
- Combined Science (Biology and Physics)
- Combined Science (Chemistry and Physics)
- Integrated Science
- Physics</t>
        </r>
      </text>
    </comment>
    <comment ref="I266" authorId="1" shapeId="0" xr:uid="{633001AC-CADA-4E91-BED7-69F50E6306A7}">
      <text>
        <r>
          <rPr>
            <b/>
            <sz val="9"/>
            <color indexed="81"/>
            <rFont val="Tahoma"/>
            <family val="2"/>
          </rPr>
          <t>Level 3</t>
        </r>
        <r>
          <rPr>
            <sz val="9"/>
            <color indexed="81"/>
            <rFont val="Tahoma"/>
            <family val="2"/>
          </rPr>
          <t xml:space="preserve"> in one elective subject from:
- Combined Science (Biology and Physics)
- Combined Science (Chemistry and Physics)
- Integrated Science
- Physics</t>
        </r>
      </text>
    </comment>
    <comment ref="I267" authorId="1" shapeId="0" xr:uid="{1D476BA7-1915-4E74-854E-46D23E4F6083}">
      <text>
        <r>
          <rPr>
            <b/>
            <sz val="9"/>
            <color indexed="81"/>
            <rFont val="Tahoma"/>
            <family val="2"/>
          </rPr>
          <t>Level 3</t>
        </r>
        <r>
          <rPr>
            <sz val="9"/>
            <color indexed="81"/>
            <rFont val="Tahoma"/>
            <family val="2"/>
          </rPr>
          <t xml:space="preserve"> in one elective subject from:
- Combined Science (Biology and Physics)
- Combined Science (Chemistry and Physics)
- Integrated Science
- Physics</t>
        </r>
      </text>
    </comment>
    <comment ref="I268" authorId="1" shapeId="0" xr:uid="{1D0A46AE-9FC9-4CD7-AFCC-F61D18943370}">
      <text>
        <r>
          <rPr>
            <b/>
            <sz val="9"/>
            <color indexed="81"/>
            <rFont val="Tahoma"/>
            <family val="2"/>
          </rPr>
          <t>Level 3</t>
        </r>
        <r>
          <rPr>
            <sz val="9"/>
            <color indexed="81"/>
            <rFont val="Tahoma"/>
            <family val="2"/>
          </rPr>
          <t xml:space="preserve"> in one elective subject from:
- Combined Science (Biology and Physics)
- Combined Science (Chemistry and Physics)
- Integrated Science
- Physics</t>
        </r>
      </text>
    </comment>
    <comment ref="I269" authorId="1" shapeId="0" xr:uid="{DCF4757D-47DD-43C2-85ED-CF6784DC9452}">
      <text>
        <r>
          <rPr>
            <b/>
            <sz val="9"/>
            <color indexed="81"/>
            <rFont val="Tahoma"/>
            <family val="2"/>
          </rPr>
          <t xml:space="preserve">Level 3 </t>
        </r>
        <r>
          <rPr>
            <sz val="9"/>
            <color indexed="81"/>
            <rFont val="Tahoma"/>
            <family val="2"/>
          </rPr>
          <t>in Biology and Chemistry</t>
        </r>
      </text>
    </comment>
    <comment ref="J269" authorId="1" shapeId="0" xr:uid="{6175FA23-110F-42E0-9B74-CDCDF1FCC3A1}">
      <text>
        <r>
          <rPr>
            <b/>
            <sz val="9"/>
            <color indexed="81"/>
            <rFont val="Tahoma"/>
            <family val="2"/>
          </rPr>
          <t xml:space="preserve">Level 3 </t>
        </r>
        <r>
          <rPr>
            <sz val="9"/>
            <color indexed="81"/>
            <rFont val="Tahoma"/>
            <family val="2"/>
          </rPr>
          <t>in Biology and Chemistry</t>
        </r>
      </text>
    </comment>
    <comment ref="I270" authorId="1" shapeId="0" xr:uid="{6575C687-FCC6-4A60-BFEB-0D3D13957751}">
      <text>
        <r>
          <rPr>
            <b/>
            <sz val="9"/>
            <color indexed="81"/>
            <rFont val="Tahoma"/>
            <family val="2"/>
          </rPr>
          <t>Level 3</t>
        </r>
        <r>
          <rPr>
            <sz val="9"/>
            <color indexed="81"/>
            <rFont val="Tahoma"/>
            <family val="2"/>
          </rPr>
          <t xml:space="preserve"> in one elective subject from:
- Biology
- Chemistry
- Combined Science</t>
        </r>
      </text>
    </comment>
    <comment ref="J270" authorId="1" shapeId="0" xr:uid="{564BF8A8-DC33-4366-ACB8-C4CA56FEEA17}">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 ref="I271" authorId="1" shapeId="0" xr:uid="{C6778276-7413-4FF2-9DA8-0E24D803F93E}">
      <text>
        <r>
          <rPr>
            <b/>
            <sz val="9"/>
            <color indexed="81"/>
            <rFont val="Tahoma"/>
            <family val="2"/>
          </rPr>
          <t>Level 3</t>
        </r>
        <r>
          <rPr>
            <sz val="9"/>
            <color indexed="81"/>
            <rFont val="Tahoma"/>
            <family val="2"/>
          </rPr>
          <t xml:space="preserve"> in one elective subject from:
- Biology
- Chemistry
- Combined Science</t>
        </r>
      </text>
    </comment>
    <comment ref="J271" authorId="1" shapeId="0" xr:uid="{E626B58D-DDA2-48BE-BAB3-42A9A525ACE0}">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 ref="I272" authorId="1" shapeId="0" xr:uid="{53CA5080-0251-44C1-B924-3CB5AF83AAA7}">
      <text>
        <r>
          <rPr>
            <b/>
            <sz val="9"/>
            <color indexed="81"/>
            <rFont val="Tahoma"/>
            <family val="2"/>
          </rPr>
          <t>Level 3</t>
        </r>
        <r>
          <rPr>
            <sz val="9"/>
            <color indexed="81"/>
            <rFont val="Tahoma"/>
            <family val="2"/>
          </rPr>
          <t xml:space="preserve"> in one elective subject from:
- Biology
- Chemistry
- Combined Science</t>
        </r>
      </text>
    </comment>
    <comment ref="J272" authorId="1" shapeId="0" xr:uid="{4EF4C3AD-B54A-4852-8145-815B1B7D2F48}">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 ref="E274" authorId="1" shapeId="0" xr:uid="{207DC5A8-2AE4-4B21-84EC-80EFC9336ABA}">
      <text>
        <r>
          <rPr>
            <b/>
            <sz val="9"/>
            <color rgb="FF000000"/>
            <rFont val="細明體"/>
            <family val="3"/>
            <charset val="136"/>
          </rPr>
          <t>入學要求</t>
        </r>
      </text>
    </comment>
    <comment ref="L274" authorId="1" shapeId="0" xr:uid="{15BB2D49-D3C9-4569-80C3-4797B72D4482}">
      <text>
        <r>
          <rPr>
            <b/>
            <sz val="9"/>
            <color rgb="FF000000"/>
            <rFont val="細明體"/>
            <family val="3"/>
            <charset val="136"/>
          </rPr>
          <t>入學要求</t>
        </r>
      </text>
    </comment>
    <comment ref="E288" authorId="1" shapeId="0" xr:uid="{DB630632-EFCC-4925-9DFE-B86ABE50F8AB}">
      <text>
        <r>
          <rPr>
            <b/>
            <sz val="9"/>
            <color indexed="81"/>
            <rFont val="細明體"/>
            <family val="3"/>
            <charset val="136"/>
          </rPr>
          <t>入學要求</t>
        </r>
      </text>
    </comment>
    <comment ref="L288" authorId="1" shapeId="0" xr:uid="{A3D9CBAD-05D3-44FD-988D-73611CEB21AC}">
      <text>
        <r>
          <rPr>
            <b/>
            <sz val="9"/>
            <color indexed="81"/>
            <rFont val="細明體"/>
            <family val="3"/>
            <charset val="136"/>
          </rPr>
          <t>入學要求</t>
        </r>
      </text>
    </comment>
    <comment ref="E297" authorId="0" shapeId="0" xr:uid="{9786CA5A-79F6-4E41-A6E8-0511BB7B6B35}">
      <text>
        <r>
          <rPr>
            <sz val="9"/>
            <color indexed="81"/>
            <rFont val="Tahoma"/>
            <family val="2"/>
          </rPr>
          <t>Good results in</t>
        </r>
        <r>
          <rPr>
            <b/>
            <sz val="9"/>
            <color indexed="81"/>
            <rFont val="Tahoma"/>
            <family val="2"/>
          </rPr>
          <t xml:space="preserve"> Chinese and English Language </t>
        </r>
        <r>
          <rPr>
            <sz val="9"/>
            <color indexed="81"/>
            <rFont val="Tahoma"/>
            <family val="2"/>
          </rPr>
          <t xml:space="preserve">subjects are preferred.
</t>
        </r>
      </text>
    </comment>
    <comment ref="F297" authorId="0" shapeId="0" xr:uid="{B86ADDE2-2848-41FD-9472-4633D4B5BEF5}">
      <text>
        <r>
          <rPr>
            <sz val="9"/>
            <color indexed="81"/>
            <rFont val="Tahoma"/>
            <family val="2"/>
          </rPr>
          <t>Good results in</t>
        </r>
        <r>
          <rPr>
            <b/>
            <sz val="9"/>
            <color indexed="81"/>
            <rFont val="Tahoma"/>
            <family val="2"/>
          </rPr>
          <t xml:space="preserve"> Chinese and English Language </t>
        </r>
        <r>
          <rPr>
            <sz val="9"/>
            <color indexed="81"/>
            <rFont val="Tahoma"/>
            <family val="2"/>
          </rPr>
          <t xml:space="preserve">subjects are preferred.
</t>
        </r>
      </text>
    </comment>
    <comment ref="F299" authorId="0" shapeId="0" xr:uid="{69D0AC2D-C737-4A56-B063-5514837432FD}">
      <text>
        <r>
          <rPr>
            <b/>
            <sz val="9"/>
            <color indexed="81"/>
            <rFont val="Tahoma"/>
            <family val="2"/>
          </rPr>
          <t>Good result in English Language</t>
        </r>
        <r>
          <rPr>
            <sz val="9"/>
            <color indexed="81"/>
            <rFont val="Tahoma"/>
            <family val="2"/>
          </rPr>
          <t xml:space="preserve"> subject is preferred.</t>
        </r>
      </text>
    </comment>
    <comment ref="F300" authorId="0" shapeId="0" xr:uid="{0F4D71D8-F07E-4F23-BB83-414B88163985}">
      <text>
        <r>
          <rPr>
            <b/>
            <sz val="9"/>
            <color indexed="81"/>
            <rFont val="Tahoma"/>
            <family val="2"/>
          </rPr>
          <t>Good result in English Language</t>
        </r>
        <r>
          <rPr>
            <sz val="9"/>
            <color indexed="81"/>
            <rFont val="Tahoma"/>
            <family val="2"/>
          </rPr>
          <t xml:space="preserve"> subject is preferred.</t>
        </r>
      </text>
    </comment>
    <comment ref="E301" authorId="0" shapeId="0" xr:uid="{381D7216-1F07-4ABE-BEB1-4986A2B2D9C5}">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F301" authorId="0" shapeId="0" xr:uid="{A3BAEEE3-6CE9-4A92-952F-C23471F91480}">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E302" authorId="0" shapeId="0" xr:uid="{57D4B929-670F-4D47-9F3B-0C6F41FF4A7B}">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F302" authorId="0" shapeId="0" xr:uid="{1BEE0A28-7651-46E3-B242-6F25C03E0344}">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E303" authorId="0" shapeId="0" xr:uid="{6E22E3FB-737C-462C-B92B-64BB92D90A98}">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F303" authorId="0" shapeId="0" xr:uid="{47334190-A2CB-4DA1-B772-24BC426D8415}">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F304" authorId="0" shapeId="0" xr:uid="{22AA7134-0828-4E76-9522-486A5A4EB64F}">
      <text>
        <r>
          <rPr>
            <sz val="9"/>
            <color indexed="81"/>
            <rFont val="Tahoma"/>
            <family val="2"/>
          </rPr>
          <t xml:space="preserve">Good results in </t>
        </r>
        <r>
          <rPr>
            <b/>
            <sz val="9"/>
            <color indexed="81"/>
            <rFont val="Tahoma"/>
            <family val="2"/>
          </rPr>
          <t xml:space="preserve">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I305" authorId="1" shapeId="0" xr:uid="{7D7CE6FD-0161-4959-9338-105A055D887A}">
      <text>
        <r>
          <rPr>
            <sz val="9"/>
            <color indexed="81"/>
            <rFont val="Tahoma"/>
            <family val="2"/>
          </rPr>
          <t xml:space="preserve">One elective must be </t>
        </r>
        <r>
          <rPr>
            <b/>
            <sz val="9"/>
            <color indexed="81"/>
            <rFont val="Tahoma"/>
            <family val="2"/>
          </rPr>
          <t>Biology or Chemistry.</t>
        </r>
      </text>
    </comment>
    <comment ref="I306" authorId="1" shapeId="0" xr:uid="{949B6857-643C-464C-A662-66EB0418C101}">
      <text>
        <r>
          <rPr>
            <sz val="9"/>
            <color indexed="81"/>
            <rFont val="Tahoma"/>
            <family val="2"/>
          </rPr>
          <t xml:space="preserve">One elective must be </t>
        </r>
        <r>
          <rPr>
            <b/>
            <sz val="9"/>
            <color indexed="81"/>
            <rFont val="Tahoma"/>
            <family val="2"/>
          </rPr>
          <t>Biology or Chemistry.</t>
        </r>
      </text>
    </comment>
    <comment ref="I307" authorId="0" shapeId="0" xr:uid="{BBB337D3-9E5E-4B5F-B7EA-A2C9CBA2D6C5}">
      <text>
        <r>
          <rPr>
            <sz val="9"/>
            <color indexed="81"/>
            <rFont val="Tahoma"/>
            <family val="2"/>
          </rPr>
          <t>High choice banding in JUPAS application is preferred. 
Good results in</t>
        </r>
        <r>
          <rPr>
            <b/>
            <sz val="9"/>
            <color indexed="81"/>
            <rFont val="Tahoma"/>
            <family val="2"/>
          </rPr>
          <t xml:space="preserve"> science-related elective subjects</t>
        </r>
        <r>
          <rPr>
            <sz val="9"/>
            <color indexed="81"/>
            <rFont val="Tahoma"/>
            <family val="2"/>
          </rPr>
          <t xml:space="preserve"> is preferred.</t>
        </r>
      </text>
    </comment>
    <comment ref="E313" authorId="0" shapeId="0" xr:uid="{9440119D-93C2-4378-9FF6-996E37569314}">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F313" authorId="0" shapeId="0" xr:uid="{821ACB00-6D0F-47C6-8EE6-F4BDB1B6C2F7}">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Chan</author>
    <author>Michael</author>
  </authors>
  <commentList>
    <comment ref="C21" authorId="0" shapeId="0" xr:uid="{A2C7B79E-8F4E-43B1-9A6F-1367AC0661ED}">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
Consideration of both Category A and C subjects, in
which </t>
        </r>
        <r>
          <rPr>
            <b/>
            <sz val="9"/>
            <color indexed="81"/>
            <rFont val="Tahoma"/>
            <family val="2"/>
          </rPr>
          <t>M1/M2 can be included</t>
        </r>
        <r>
          <rPr>
            <sz val="9"/>
            <color indexed="81"/>
            <rFont val="Tahoma"/>
            <family val="2"/>
          </rPr>
          <t xml:space="preserve"> as an elective.</t>
        </r>
      </text>
    </comment>
    <comment ref="C22" authorId="1" shapeId="0" xr:uid="{DC4878F1-B569-4990-BD13-A844EFBCD5C8}">
      <text>
        <r>
          <rPr>
            <sz val="9"/>
            <color indexed="81"/>
            <rFont val="Tahoma"/>
            <family val="2"/>
          </rPr>
          <t xml:space="preserve">Consideration of both Category A and C subjects, </t>
        </r>
        <r>
          <rPr>
            <b/>
            <sz val="9"/>
            <color indexed="81"/>
            <rFont val="Tahoma"/>
            <family val="2"/>
          </rPr>
          <t>excluding M1/M2.</t>
        </r>
      </text>
    </comment>
    <comment ref="C23" authorId="1" shapeId="0" xr:uid="{FDE277D7-22DF-49B3-BC33-8D045D889304}">
      <text>
        <r>
          <rPr>
            <sz val="9"/>
            <color indexed="81"/>
            <rFont val="Tahoma"/>
            <family val="2"/>
          </rPr>
          <t>Consideration of both Category A and C subjects,</t>
        </r>
        <r>
          <rPr>
            <b/>
            <sz val="9"/>
            <color indexed="81"/>
            <rFont val="Tahoma"/>
            <family val="2"/>
          </rPr>
          <t xml:space="preserve"> excluding M1/M2.</t>
        </r>
      </text>
    </comment>
    <comment ref="C24" authorId="1" shapeId="0" xr:uid="{8F84E620-AC10-4568-ACE6-7CEAA121BB26}">
      <text>
        <r>
          <rPr>
            <sz val="9"/>
            <color indexed="81"/>
            <rFont val="Tahoma"/>
            <family val="2"/>
          </rPr>
          <t xml:space="preserve">Consideration of both Category A and C subjects, </t>
        </r>
        <r>
          <rPr>
            <b/>
            <sz val="9"/>
            <color indexed="81"/>
            <rFont val="Tahoma"/>
            <family val="2"/>
          </rPr>
          <t xml:space="preserve">excluding M1/M2.
</t>
        </r>
      </text>
    </comment>
    <comment ref="C25" authorId="1" shapeId="0" xr:uid="{F77A4E8B-D663-4A00-846E-9D72CA2B35ED}">
      <text>
        <r>
          <rPr>
            <sz val="9"/>
            <color indexed="81"/>
            <rFont val="Tahoma"/>
            <family val="2"/>
          </rPr>
          <t xml:space="preserve">Consideration of both Category A and C subjects, </t>
        </r>
        <r>
          <rPr>
            <b/>
            <sz val="9"/>
            <color indexed="81"/>
            <rFont val="Tahoma"/>
            <family val="2"/>
          </rPr>
          <t xml:space="preserve">excluding M1/M2.
</t>
        </r>
      </text>
    </comment>
    <comment ref="C26" authorId="1" shapeId="0" xr:uid="{1D5E4D63-D6FC-4E51-A54D-43366CCCAA83}">
      <text>
        <r>
          <rPr>
            <sz val="9"/>
            <color indexed="81"/>
            <rFont val="Tahoma"/>
            <family val="2"/>
          </rPr>
          <t xml:space="preserve">Consideration of both Category A and C subjects, </t>
        </r>
        <r>
          <rPr>
            <b/>
            <sz val="9"/>
            <color indexed="81"/>
            <rFont val="Tahoma"/>
            <family val="2"/>
          </rPr>
          <t xml:space="preserve">excluding M1/M2.
</t>
        </r>
        <r>
          <rPr>
            <sz val="9"/>
            <color indexed="81"/>
            <rFont val="Tahoma"/>
            <family val="2"/>
          </rPr>
          <t xml:space="preserve">
The best 5 subjects must </t>
        </r>
        <r>
          <rPr>
            <b/>
            <sz val="9"/>
            <color indexed="81"/>
            <rFont val="Tahoma"/>
            <family val="2"/>
          </rPr>
          <t>include English Language</t>
        </r>
        <r>
          <rPr>
            <sz val="9"/>
            <color indexed="81"/>
            <rFont val="Tahoma"/>
            <family val="2"/>
          </rPr>
          <t xml:space="preserve">
</t>
        </r>
      </text>
    </comment>
    <comment ref="C27" authorId="1" shapeId="0" xr:uid="{4742B8CA-660B-4412-B5A4-0E93AA2B69B4}">
      <text>
        <r>
          <rPr>
            <sz val="9"/>
            <color indexed="81"/>
            <rFont val="Tahoma"/>
            <family val="2"/>
          </rPr>
          <t xml:space="preserve">Must </t>
        </r>
        <r>
          <rPr>
            <b/>
            <sz val="9"/>
            <color indexed="81"/>
            <rFont val="Tahoma"/>
            <family val="2"/>
          </rPr>
          <t>include English Language, Mathematics</t>
        </r>
        <r>
          <rPr>
            <sz val="9"/>
            <color indexed="81"/>
            <rFont val="Tahoma"/>
            <family val="2"/>
          </rPr>
          <t xml:space="preserve">
</t>
        </r>
        <r>
          <rPr>
            <b/>
            <sz val="9"/>
            <color indexed="81"/>
            <rFont val="Tahoma"/>
            <family val="2"/>
          </rPr>
          <t>English Language, Mathematics</t>
        </r>
        <r>
          <rPr>
            <sz val="9"/>
            <color indexed="81"/>
            <rFont val="Tahoma"/>
            <family val="2"/>
          </rPr>
          <t xml:space="preserve"> with heavier weighting.
</t>
        </r>
      </text>
    </comment>
    <comment ref="C28" authorId="0" shapeId="0" xr:uid="{36ACA08E-94BF-47D1-8748-4F5931CF6CB7}">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The best 6 subjects must include English Language, Mathematics.
M1/M2 can be included in lieu of Mathematics.
Weighting: English Language, Mathematics, M1/M2
</t>
        </r>
      </text>
    </comment>
    <comment ref="C29" authorId="0" shapeId="0" xr:uid="{EE5C5865-3B9C-4DED-BA8A-D91456F1768D}">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The best 6 subjects must include English Language, Mathematics
M1/M2 can be included.
Weighting: English Language, Mathematics</t>
        </r>
      </text>
    </comment>
    <comment ref="C30" authorId="0" shapeId="0" xr:uid="{D1E1087C-B235-428F-9F95-30A1B4CD8256}">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The best 6 subjects must include English Language, Mathematics
M1/M2 can be included.
Weighting: English Language, Mathematics
</t>
        </r>
      </text>
    </comment>
    <comment ref="C31" authorId="1" shapeId="0" xr:uid="{3A1D7A34-CA78-4AD5-92C7-D7FD6D92086A}">
      <text>
        <r>
          <rPr>
            <sz val="9"/>
            <color indexed="81"/>
            <rFont val="Tahoma"/>
            <family val="2"/>
          </rPr>
          <t xml:space="preserve">The best 6 subjects must include </t>
        </r>
        <r>
          <rPr>
            <b/>
            <sz val="9"/>
            <color indexed="81"/>
            <rFont val="Tahoma"/>
            <family val="2"/>
          </rPr>
          <t>English Language, Mathematics</t>
        </r>
        <r>
          <rPr>
            <sz val="9"/>
            <color indexed="81"/>
            <rFont val="Tahoma"/>
            <family val="2"/>
          </rPr>
          <t xml:space="preserve">,
plus the best four among the remaining subjects.
</t>
        </r>
        <r>
          <rPr>
            <b/>
            <sz val="9"/>
            <color indexed="81"/>
            <rFont val="Tahoma"/>
            <family val="2"/>
          </rPr>
          <t>M1/M2 can be included in lieu of Mathematics.</t>
        </r>
        <r>
          <rPr>
            <sz val="9"/>
            <color indexed="81"/>
            <rFont val="Tahoma"/>
            <family val="2"/>
          </rPr>
          <t xml:space="preserve">
</t>
        </r>
      </text>
    </comment>
    <comment ref="C32" authorId="1" shapeId="0" xr:uid="{AB8861BF-A97D-47A6-BD4C-376CCBF7A582}">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plus the best three among the remaining subjects.
</t>
        </r>
        <r>
          <rPr>
            <sz val="9"/>
            <color indexed="81"/>
            <rFont val="細明體"/>
            <family val="3"/>
            <charset val="136"/>
          </rPr>
          <t>最高比重</t>
        </r>
        <r>
          <rPr>
            <sz val="9"/>
            <color indexed="81"/>
            <rFont val="Tahoma"/>
            <family val="2"/>
          </rPr>
          <t xml:space="preserve">: English Language
</t>
        </r>
        <r>
          <rPr>
            <sz val="9"/>
            <color indexed="81"/>
            <rFont val="細明體"/>
            <family val="3"/>
            <charset val="136"/>
          </rPr>
          <t>較高比重</t>
        </r>
        <r>
          <rPr>
            <sz val="9"/>
            <color indexed="81"/>
            <rFont val="Tahoma"/>
            <family val="2"/>
          </rPr>
          <t>: Mathematics, M1/M2</t>
        </r>
      </text>
    </comment>
    <comment ref="C33" authorId="1" shapeId="0" xr:uid="{064EA672-9B4F-4680-9FCB-6A1F6A59D53A}">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The best 6 subjects must include English Language, Mathematics
M1/M2 can be included.
Weighting: English Language, Mathematics
</t>
        </r>
      </text>
    </comment>
    <comment ref="C34" authorId="1" shapeId="0" xr:uid="{44B4D0B3-C82B-4721-9650-2743F4848F7B}">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t>
        </r>
        <r>
          <rPr>
            <b/>
            <sz val="9"/>
            <color indexed="81"/>
            <rFont val="Tahoma"/>
            <family val="2"/>
          </rPr>
          <t xml:space="preserve">
</t>
        </r>
        <r>
          <rPr>
            <sz val="9"/>
            <color indexed="81"/>
            <rFont val="Tahoma"/>
            <family val="2"/>
          </rPr>
          <t xml:space="preserve">
The best 5 subjects must include </t>
        </r>
        <r>
          <rPr>
            <b/>
            <sz val="9"/>
            <color indexed="81"/>
            <rFont val="Tahoma"/>
            <family val="2"/>
          </rPr>
          <t xml:space="preserve">English Language and Mathematics.
</t>
        </r>
      </text>
    </comment>
    <comment ref="C35" authorId="1" shapeId="0" xr:uid="{C70682AF-F34F-49B9-91D9-409D4486CAA9}">
      <text>
        <r>
          <rPr>
            <sz val="9"/>
            <color indexed="81"/>
            <rFont val="Tahoma"/>
            <family val="2"/>
          </rPr>
          <t xml:space="preserve">The bes t 6 subjects must include a </t>
        </r>
        <r>
          <rPr>
            <b/>
            <sz val="9"/>
            <color indexed="81"/>
            <rFont val="Tahoma"/>
            <family val="2"/>
          </rPr>
          <t>Science elective</t>
        </r>
        <r>
          <rPr>
            <sz val="9"/>
            <color indexed="81"/>
            <rFont val="Tahoma"/>
            <family val="2"/>
          </rPr>
          <t xml:space="preserve"> subject*
Weighting: Science electives*, </t>
        </r>
        <r>
          <rPr>
            <b/>
            <sz val="9"/>
            <color indexed="81"/>
            <rFont val="Tahoma"/>
            <family val="2"/>
          </rPr>
          <t>excluding Integrated Science</t>
        </r>
        <r>
          <rPr>
            <sz val="9"/>
            <color indexed="81"/>
            <rFont val="Tahoma"/>
            <family val="2"/>
          </rPr>
          <t xml:space="preserve">
</t>
        </r>
      </text>
    </comment>
    <comment ref="C36" authorId="1" shapeId="0" xr:uid="{696F2D93-801B-4A47-A0CB-2CD0C6722CDB}">
      <text>
        <r>
          <rPr>
            <sz val="9"/>
            <color indexed="81"/>
            <rFont val="Tahoma"/>
            <family val="2"/>
          </rPr>
          <t>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sz val="9"/>
            <color indexed="81"/>
            <rFont val="Tahoma"/>
            <family val="2"/>
          </rPr>
          <t xml:space="preserve">: English Language
</t>
        </r>
        <r>
          <rPr>
            <b/>
            <sz val="9"/>
            <color indexed="81"/>
            <rFont val="細明體"/>
            <family val="3"/>
            <charset val="136"/>
          </rPr>
          <t>較高比重</t>
        </r>
        <r>
          <rPr>
            <sz val="9"/>
            <color indexed="81"/>
            <rFont val="Tahoma"/>
            <family val="2"/>
          </rPr>
          <t xml:space="preserve">: Liberal Studies
</t>
        </r>
      </text>
    </comment>
    <comment ref="C37" authorId="1" shapeId="0" xr:uid="{4AFBB03C-6864-4E6D-AA38-92AAC9FBE7DF}">
      <text>
        <r>
          <rPr>
            <sz val="9"/>
            <color indexed="81"/>
            <rFont val="Tahoma"/>
            <family val="2"/>
          </rPr>
          <t xml:space="preserve">The best 5 subjects must include </t>
        </r>
        <r>
          <rPr>
            <b/>
            <sz val="9"/>
            <color indexed="81"/>
            <rFont val="Tahoma"/>
            <family val="2"/>
          </rPr>
          <t>Chinese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Tahoma"/>
            <family val="2"/>
          </rPr>
          <t xml:space="preserve">Chinese Language
</t>
        </r>
        <r>
          <rPr>
            <b/>
            <sz val="9"/>
            <color indexed="81"/>
            <rFont val="細明體"/>
            <family val="3"/>
            <charset val="136"/>
          </rPr>
          <t>較高比重</t>
        </r>
        <r>
          <rPr>
            <b/>
            <sz val="9"/>
            <color indexed="81"/>
            <rFont val="Tahoma"/>
            <family val="2"/>
          </rPr>
          <t>:</t>
        </r>
        <r>
          <rPr>
            <sz val="9"/>
            <color indexed="81"/>
            <rFont val="Tahoma"/>
            <family val="2"/>
          </rPr>
          <t xml:space="preserve"> Liberal Studies
</t>
        </r>
      </text>
    </comment>
    <comment ref="C38" authorId="1" shapeId="0" xr:uid="{D50BC8C0-067A-4878-B809-019F2D2DF3F0}">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and </t>
        </r>
        <r>
          <rPr>
            <b/>
            <sz val="9"/>
            <color indexed="81"/>
            <rFont val="Tahoma"/>
            <family val="2"/>
          </rPr>
          <t>Chinese Language</t>
        </r>
        <r>
          <rPr>
            <sz val="9"/>
            <color indexed="81"/>
            <rFont val="Tahoma"/>
            <family val="2"/>
          </rPr>
          <t xml:space="preserve">.
</t>
        </r>
        <r>
          <rPr>
            <sz val="9"/>
            <color indexed="81"/>
            <rFont val="細明體"/>
            <family val="3"/>
            <charset val="136"/>
          </rPr>
          <t>最高比重</t>
        </r>
        <r>
          <rPr>
            <sz val="9"/>
            <color indexed="81"/>
            <rFont val="Tahoma"/>
            <family val="2"/>
          </rPr>
          <t xml:space="preserve">: </t>
        </r>
        <r>
          <rPr>
            <b/>
            <sz val="9"/>
            <color indexed="81"/>
            <rFont val="Tahoma"/>
            <family val="2"/>
          </rPr>
          <t>English Language</t>
        </r>
        <r>
          <rPr>
            <sz val="9"/>
            <color indexed="81"/>
            <rFont val="Tahoma"/>
            <family val="2"/>
          </rPr>
          <t xml:space="preserve">
</t>
        </r>
        <r>
          <rPr>
            <sz val="9"/>
            <color indexed="81"/>
            <rFont val="細明體"/>
            <family val="3"/>
            <charset val="136"/>
          </rPr>
          <t>較高比重</t>
        </r>
        <r>
          <rPr>
            <sz val="9"/>
            <color indexed="81"/>
            <rFont val="Tahoma"/>
            <family val="2"/>
          </rPr>
          <t xml:space="preserve">: </t>
        </r>
        <r>
          <rPr>
            <b/>
            <sz val="9"/>
            <color indexed="81"/>
            <rFont val="Tahoma"/>
            <family val="2"/>
          </rPr>
          <t>Chinese Language</t>
        </r>
        <r>
          <rPr>
            <sz val="9"/>
            <color indexed="81"/>
            <rFont val="Tahoma"/>
            <family val="2"/>
          </rPr>
          <t xml:space="preserve">
</t>
        </r>
      </text>
    </comment>
    <comment ref="C39" authorId="1" shapeId="0" xr:uid="{91243F3E-2829-4481-884E-DCE86C4DBDB1}">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t>
        </r>
        <r>
          <rPr>
            <b/>
            <sz val="9"/>
            <color indexed="81"/>
            <rFont val="Tahoma"/>
            <family val="2"/>
          </rPr>
          <t>Mathematics</t>
        </r>
        <r>
          <rPr>
            <sz val="9"/>
            <color indexed="81"/>
            <rFont val="Tahoma"/>
            <family val="2"/>
          </rPr>
          <t xml:space="preserve"> and
the </t>
        </r>
        <r>
          <rPr>
            <b/>
            <sz val="9"/>
            <color indexed="81"/>
            <rFont val="Tahoma"/>
            <family val="2"/>
          </rPr>
          <t>best Science elective subject</t>
        </r>
        <r>
          <rPr>
            <sz val="9"/>
            <color indexed="81"/>
            <rFont val="Tahoma"/>
            <family val="2"/>
          </rPr>
          <t xml:space="preserve">*
M1/M2 can be included.
</t>
        </r>
        <r>
          <rPr>
            <b/>
            <sz val="9"/>
            <color indexed="81"/>
            <rFont val="細明體"/>
            <family val="3"/>
            <charset val="136"/>
          </rPr>
          <t>最高比重</t>
        </r>
        <r>
          <rPr>
            <b/>
            <sz val="9"/>
            <color indexed="81"/>
            <rFont val="Tahoma"/>
            <family val="2"/>
          </rPr>
          <t>:</t>
        </r>
        <r>
          <rPr>
            <sz val="9"/>
            <color indexed="81"/>
            <rFont val="Tahoma"/>
            <family val="2"/>
          </rPr>
          <t xml:space="preserve"> 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t>
        </r>
      </text>
    </comment>
    <comment ref="C41" authorId="1" shapeId="0" xr:uid="{9FE6C8E6-AF41-488B-A17B-9EE36CE5EA71}">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C42" authorId="1" shapeId="0" xr:uid="{30999337-2041-4177-95A1-DED3A64F0FFC}">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 xml:space="preserve">English Language </t>
        </r>
        <r>
          <rPr>
            <sz val="9"/>
            <color indexed="81"/>
            <rFont val="Tahoma"/>
            <family val="2"/>
          </rPr>
          <t>and</t>
        </r>
        <r>
          <rPr>
            <b/>
            <sz val="9"/>
            <color indexed="81"/>
            <rFont val="Tahoma"/>
            <family val="2"/>
          </rPr>
          <t xml:space="preserve"> Mathematics</t>
        </r>
        <r>
          <rPr>
            <sz val="9"/>
            <color indexed="81"/>
            <rFont val="Tahoma"/>
            <family val="2"/>
          </rPr>
          <t xml:space="preserve">.
</t>
        </r>
      </text>
    </comment>
    <comment ref="C43" authorId="1" shapeId="0" xr:uid="{5D32A791-3EC5-474F-A36C-4A50E6975BB3}">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Mathematics.</t>
        </r>
        <r>
          <rPr>
            <sz val="9"/>
            <color indexed="81"/>
            <rFont val="Tahoma"/>
            <family val="2"/>
          </rPr>
          <t xml:space="preserve">
</t>
        </r>
      </text>
    </comment>
    <comment ref="C44" authorId="1" shapeId="0" xr:uid="{8B477D74-D857-49E1-A9B6-489F35FB3C63}">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English Language</t>
        </r>
        <r>
          <rPr>
            <sz val="9"/>
            <color indexed="81"/>
            <rFont val="Tahoma"/>
            <family val="2"/>
          </rPr>
          <t xml:space="preserve"> and </t>
        </r>
        <r>
          <rPr>
            <b/>
            <sz val="9"/>
            <color indexed="81"/>
            <rFont val="Tahoma"/>
            <family val="2"/>
          </rPr>
          <t>Mathematics</t>
        </r>
        <r>
          <rPr>
            <sz val="9"/>
            <color indexed="81"/>
            <rFont val="Tahoma"/>
            <family val="2"/>
          </rPr>
          <t>.</t>
        </r>
      </text>
    </comment>
    <comment ref="C45" authorId="1" shapeId="0" xr:uid="{17C7F915-AEFB-4390-AC89-7C0678943CDB}">
      <text>
        <r>
          <rPr>
            <sz val="9"/>
            <color indexed="81"/>
            <rFont val="Tahoma"/>
            <family val="2"/>
          </rPr>
          <t xml:space="preserve">The best 6 subjects must include </t>
        </r>
        <r>
          <rPr>
            <b/>
            <sz val="9"/>
            <color indexed="81"/>
            <rFont val="Tahoma"/>
            <family val="2"/>
          </rPr>
          <t>English Language</t>
        </r>
        <r>
          <rPr>
            <sz val="9"/>
            <color indexed="81"/>
            <rFont val="Tahoma"/>
            <family val="2"/>
          </rPr>
          <t xml:space="preserve">
</t>
        </r>
      </text>
    </comment>
    <comment ref="C46" authorId="1" shapeId="0" xr:uid="{DD2CC1F3-6229-46A3-8CB3-CA59B4DCCA29}">
      <text>
        <r>
          <rPr>
            <sz val="9"/>
            <color indexed="81"/>
            <rFont val="Tahoma"/>
            <family val="2"/>
          </rPr>
          <t xml:space="preserve">The best 6 subjects must include </t>
        </r>
        <r>
          <rPr>
            <b/>
            <sz val="9"/>
            <color indexed="81"/>
            <rFont val="Tahoma"/>
            <family val="2"/>
          </rPr>
          <t>English Language</t>
        </r>
      </text>
    </comment>
    <comment ref="C47" authorId="1" shapeId="0" xr:uid="{C7991C70-C617-43AA-8F3E-A6B3ADA8FC1A}">
      <text>
        <r>
          <rPr>
            <sz val="9"/>
            <color indexed="81"/>
            <rFont val="Tahoma"/>
            <family val="2"/>
          </rPr>
          <t xml:space="preserve">The score of </t>
        </r>
        <r>
          <rPr>
            <b/>
            <sz val="9"/>
            <color indexed="81"/>
            <rFont val="Tahoma"/>
            <family val="2"/>
          </rPr>
          <t xml:space="preserve">Mathematics compulsory </t>
        </r>
        <r>
          <rPr>
            <sz val="9"/>
            <color indexed="81"/>
            <rFont val="Tahoma"/>
            <family val="2"/>
          </rPr>
          <t xml:space="preserve">part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[MA+(M1/M2*0.5)]/1.5</t>
        </r>
      </text>
    </comment>
    <comment ref="C48" authorId="1" shapeId="0" xr:uid="{7D5D526B-CC8E-4344-91C5-0DCFB220D3A1}">
      <text>
        <r>
          <rPr>
            <sz val="9"/>
            <color indexed="81"/>
            <rFont val="Tahoma"/>
            <family val="2"/>
          </rPr>
          <t xml:space="preserve">Consideration of both Category A and C subjects, </t>
        </r>
        <r>
          <rPr>
            <b/>
            <sz val="9"/>
            <color indexed="81"/>
            <rFont val="Tahoma"/>
            <family val="2"/>
          </rPr>
          <t xml:space="preserve">excluding M1/M2.
</t>
        </r>
      </text>
    </comment>
    <comment ref="C49" authorId="1" shapeId="0" xr:uid="{07D55F55-0FFA-4426-AA27-C52CBF768D33}">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C50" authorId="1" shapeId="0" xr:uid="{2449EE2F-D881-41AA-8CAE-C56543C793C3}">
      <text>
        <r>
          <rPr>
            <sz val="9"/>
            <color indexed="81"/>
            <rFont val="Tahoma"/>
            <family val="2"/>
          </rPr>
          <t xml:space="preserve">The score of </t>
        </r>
        <r>
          <rPr>
            <b/>
            <sz val="9"/>
            <color indexed="81"/>
            <rFont val="Tahoma"/>
            <family val="2"/>
          </rPr>
          <t>Mathematics compulsory part</t>
        </r>
        <r>
          <rPr>
            <sz val="9"/>
            <color indexed="81"/>
            <rFont val="Tahoma"/>
            <family val="2"/>
          </rPr>
          <t xml:space="preserve">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 xml:space="preserve">
[MA+(M1/M2*0.5)]/1.5</t>
        </r>
        <r>
          <rPr>
            <sz val="9"/>
            <color indexed="81"/>
            <rFont val="Tahoma"/>
            <family val="2"/>
          </rPr>
          <t xml:space="preserve">
</t>
        </r>
      </text>
    </comment>
    <comment ref="C51" authorId="1" shapeId="0" xr:uid="{A023489D-C94F-4E55-994A-1A2318535532}">
      <text>
        <r>
          <rPr>
            <sz val="9"/>
            <color indexed="81"/>
            <rFont val="Tahoma"/>
            <family val="2"/>
          </rPr>
          <t xml:space="preserve">The score of </t>
        </r>
        <r>
          <rPr>
            <b/>
            <sz val="9"/>
            <color indexed="81"/>
            <rFont val="Tahoma"/>
            <family val="2"/>
          </rPr>
          <t xml:space="preserve">Mathematics compulsory part </t>
        </r>
        <r>
          <rPr>
            <sz val="9"/>
            <color indexed="81"/>
            <rFont val="Tahoma"/>
            <family val="2"/>
          </rPr>
          <t>(MA) or the</t>
        </r>
        <r>
          <rPr>
            <b/>
            <sz val="9"/>
            <color indexed="81"/>
            <rFont val="Tahoma"/>
            <family val="2"/>
          </rPr>
          <t xml:space="preserve"> combined score of
MA and M1/M2</t>
        </r>
        <r>
          <rPr>
            <sz val="9"/>
            <color indexed="81"/>
            <rFont val="Tahoma"/>
            <family val="2"/>
          </rPr>
          <t xml:space="preserve"> calculated as below, whichever is higher, will be taken into
consideration.
</t>
        </r>
        <r>
          <rPr>
            <b/>
            <sz val="9"/>
            <color indexed="81"/>
            <rFont val="Tahoma"/>
            <family val="2"/>
          </rPr>
          <t>[MA+(M1/M2*0.5)]/1.5</t>
        </r>
        <r>
          <rPr>
            <sz val="9"/>
            <color indexed="81"/>
            <rFont val="Tahoma"/>
            <family val="2"/>
          </rPr>
          <t xml:space="preserve">
</t>
        </r>
      </text>
    </comment>
    <comment ref="C52" authorId="1" shapeId="0" xr:uid="{F23F703E-0A59-402B-9E9B-8D3E61E252CA}">
      <text>
        <r>
          <rPr>
            <sz val="9"/>
            <color indexed="81"/>
            <rFont val="Tahoma"/>
            <family val="2"/>
          </rPr>
          <t xml:space="preserve">The best 6 subjects must include </t>
        </r>
        <r>
          <rPr>
            <b/>
            <sz val="9"/>
            <color indexed="81"/>
            <rFont val="Tahoma"/>
            <family val="2"/>
          </rPr>
          <t xml:space="preserve">English Language, Mathematics, M1/M2.
</t>
        </r>
        <r>
          <rPr>
            <sz val="9"/>
            <color indexed="81"/>
            <rFont val="Tahoma"/>
            <family val="2"/>
          </rPr>
          <t xml:space="preserve">
</t>
        </r>
        <r>
          <rPr>
            <b/>
            <sz val="9"/>
            <color indexed="81"/>
            <rFont val="細明體"/>
            <family val="3"/>
            <charset val="136"/>
          </rPr>
          <t>較高比重</t>
        </r>
        <r>
          <rPr>
            <b/>
            <sz val="9"/>
            <color indexed="81"/>
            <rFont val="Tahoma"/>
            <family val="2"/>
          </rPr>
          <t>:</t>
        </r>
        <r>
          <rPr>
            <sz val="9"/>
            <color indexed="81"/>
            <rFont val="Tahoma"/>
            <family val="2"/>
          </rPr>
          <t xml:space="preserve"> English Language, Mathematics, M1/M2
</t>
        </r>
      </text>
    </comment>
    <comment ref="C53" authorId="1" shapeId="0" xr:uid="{0AF6CAA1-7277-4264-9CDE-98B342039FEF}">
      <text>
        <r>
          <rPr>
            <sz val="9"/>
            <color indexed="81"/>
            <rFont val="Tahoma"/>
            <family val="2"/>
          </rPr>
          <t xml:space="preserve">The best 5 subjects must include </t>
        </r>
        <r>
          <rPr>
            <b/>
            <sz val="9"/>
            <color indexed="81"/>
            <rFont val="Tahoma"/>
            <family val="2"/>
          </rPr>
          <t>English Language, Mathematics</t>
        </r>
        <r>
          <rPr>
            <sz val="9"/>
            <color indexed="81"/>
            <rFont val="Tahoma"/>
            <family val="2"/>
          </rPr>
          <t xml:space="preserve"> and the
</t>
        </r>
        <r>
          <rPr>
            <b/>
            <sz val="9"/>
            <color indexed="81"/>
            <rFont val="Tahoma"/>
            <family val="2"/>
          </rPr>
          <t>best Science elective</t>
        </r>
        <r>
          <rPr>
            <sz val="9"/>
            <color indexed="81"/>
            <rFont val="Tahoma"/>
            <family val="2"/>
          </rPr>
          <t xml:space="preserve"> subject*.
M1/M2 can be included.
</t>
        </r>
        <r>
          <rPr>
            <b/>
            <sz val="9"/>
            <color indexed="81"/>
            <rFont val="細明體"/>
            <family val="3"/>
            <charset val="136"/>
          </rPr>
          <t>最高比重</t>
        </r>
        <r>
          <rPr>
            <b/>
            <sz val="9"/>
            <color indexed="81"/>
            <rFont val="Tahoma"/>
            <family val="2"/>
          </rPr>
          <t xml:space="preserve">: </t>
        </r>
        <r>
          <rPr>
            <sz val="9"/>
            <color indexed="81"/>
            <rFont val="Tahoma"/>
            <family val="2"/>
          </rPr>
          <t xml:space="preserve">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t>
        </r>
      </text>
    </comment>
    <comment ref="C54" authorId="1" shapeId="0" xr:uid="{A8BA7E3E-DF2D-4B86-899E-4F4B400823BC}">
      <text>
        <r>
          <rPr>
            <sz val="9"/>
            <color indexed="81"/>
            <rFont val="Tahoma"/>
            <family val="2"/>
          </rPr>
          <t xml:space="preserve">Consideration of both Category A and C subjects, </t>
        </r>
        <r>
          <rPr>
            <b/>
            <sz val="9"/>
            <color indexed="81"/>
            <rFont val="Tahoma"/>
            <family val="2"/>
          </rPr>
          <t>excluding M1/M2</t>
        </r>
      </text>
    </comment>
    <comment ref="C55" authorId="1" shapeId="0" xr:uid="{5E79261D-5863-4365-B205-1C48CCE6D079}">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C57" authorId="1" shapeId="0" xr:uid="{F7C2DEB6-55AF-4F09-B5B5-449D3310E36A}">
      <text>
        <r>
          <rPr>
            <sz val="9"/>
            <color indexed="81"/>
            <rFont val="Tahoma"/>
            <family val="2"/>
          </rPr>
          <t xml:space="preserve">Consideration of both Category A and C subjects, </t>
        </r>
        <r>
          <rPr>
            <b/>
            <sz val="9"/>
            <color indexed="81"/>
            <rFont val="Tahoma"/>
            <family val="2"/>
          </rPr>
          <t>excluding M1/M2</t>
        </r>
      </text>
    </comment>
    <comment ref="C58" authorId="1" shapeId="0" xr:uid="{B5BC0397-1D2F-4670-BE61-2BF7C51478A7}">
      <text>
        <r>
          <rPr>
            <sz val="9"/>
            <color indexed="81"/>
            <rFont val="Tahoma"/>
            <family val="2"/>
          </rPr>
          <t xml:space="preserve">Consideration of both Category A and C subjects, </t>
        </r>
        <r>
          <rPr>
            <b/>
            <sz val="9"/>
            <color indexed="81"/>
            <rFont val="Tahoma"/>
            <family val="2"/>
          </rPr>
          <t>excluding M1/M2</t>
        </r>
      </text>
    </comment>
    <comment ref="C59" authorId="1" shapeId="0" xr:uid="{014A0A2D-0007-468C-8BD7-CE9EBBED1706}">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t>
        </r>
        <r>
          <rPr>
            <b/>
            <sz val="9"/>
            <color indexed="81"/>
            <rFont val="細明體"/>
            <family val="3"/>
            <charset val="136"/>
          </rPr>
          <t>最高比重</t>
        </r>
        <r>
          <rPr>
            <b/>
            <sz val="9"/>
            <color indexed="81"/>
            <rFont val="Tahoma"/>
            <family val="2"/>
          </rPr>
          <t>:</t>
        </r>
        <r>
          <rPr>
            <sz val="9"/>
            <color indexed="81"/>
            <rFont val="Tahoma"/>
            <family val="2"/>
          </rPr>
          <t xml:space="preserve"> English Language, Mathematics, M1/M2
</t>
        </r>
        <r>
          <rPr>
            <b/>
            <sz val="9"/>
            <color indexed="81"/>
            <rFont val="細明體"/>
            <family val="3"/>
            <charset val="136"/>
          </rPr>
          <t>較高比重</t>
        </r>
        <r>
          <rPr>
            <b/>
            <sz val="9"/>
            <color indexed="81"/>
            <rFont val="Tahoma"/>
            <family val="2"/>
          </rPr>
          <t>:</t>
        </r>
        <r>
          <rPr>
            <sz val="9"/>
            <color indexed="81"/>
            <rFont val="Tahoma"/>
            <family val="2"/>
          </rPr>
          <t xml:space="preserve"> Science Electives
</t>
        </r>
      </text>
    </comment>
    <comment ref="C60" authorId="0" shapeId="0" xr:uid="{8F649F6E-8C7F-48CD-9851-ED833C65948E}">
      <text>
        <r>
          <rPr>
            <b/>
            <sz val="9"/>
            <color indexed="81"/>
            <rFont val="Tahoma"/>
            <family val="2"/>
          </rPr>
          <t>2020</t>
        </r>
        <r>
          <rPr>
            <b/>
            <sz val="9"/>
            <color indexed="81"/>
            <rFont val="細明體"/>
            <family val="3"/>
            <charset val="136"/>
          </rPr>
          <t>年會以</t>
        </r>
        <r>
          <rPr>
            <b/>
            <sz val="9"/>
            <color indexed="81"/>
            <rFont val="Tahoma"/>
            <family val="2"/>
          </rPr>
          <t>Best 6</t>
        </r>
        <r>
          <rPr>
            <b/>
            <sz val="9"/>
            <color indexed="81"/>
            <rFont val="細明體"/>
            <family val="3"/>
            <charset val="136"/>
          </rPr>
          <t xml:space="preserve">收生
</t>
        </r>
        <r>
          <rPr>
            <sz val="9"/>
            <color indexed="81"/>
            <rFont val="Tahoma"/>
            <family val="2"/>
          </rPr>
          <t xml:space="preserve">
Consideration of both Category A and C subjects, in
which </t>
        </r>
        <r>
          <rPr>
            <b/>
            <sz val="9"/>
            <color indexed="81"/>
            <rFont val="Tahoma"/>
            <family val="2"/>
          </rPr>
          <t>M1/M2 can be included</t>
        </r>
        <r>
          <rPr>
            <sz val="9"/>
            <color indexed="81"/>
            <rFont val="Tahoma"/>
            <family val="2"/>
          </rPr>
          <t xml:space="preserve"> as an elective.</t>
        </r>
      </text>
    </comment>
    <comment ref="C61" authorId="1" shapeId="0" xr:uid="{9BDB9681-B8F3-47BE-A89F-87AE1A096FF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6 subjects must include </t>
        </r>
        <r>
          <rPr>
            <b/>
            <sz val="9"/>
            <color indexed="81"/>
            <rFont val="Tahoma"/>
            <family val="2"/>
          </rPr>
          <t>English Language, Mathematics.</t>
        </r>
        <r>
          <rPr>
            <sz val="9"/>
            <color indexed="81"/>
            <rFont val="Tahoma"/>
            <family val="2"/>
          </rPr>
          <t xml:space="preserve">
</t>
        </r>
      </text>
    </comment>
    <comment ref="C62" authorId="1" shapeId="0" xr:uid="{8BF98B57-B1C1-48FF-BBC0-A4809535B73D}">
      <text>
        <r>
          <rPr>
            <sz val="9"/>
            <color indexed="81"/>
            <rFont val="Tahoma"/>
            <family val="2"/>
          </rPr>
          <t xml:space="preserve">Consideration of both Category A and C subjects, </t>
        </r>
        <r>
          <rPr>
            <b/>
            <sz val="9"/>
            <color indexed="81"/>
            <rFont val="Tahoma"/>
            <family val="2"/>
          </rPr>
          <t>excluding M1/M2.</t>
        </r>
      </text>
    </comment>
    <comment ref="C66" authorId="0" shapeId="0" xr:uid="{75876434-42BD-4387-8AB2-1DECF22D73CE}">
      <text>
        <r>
          <rPr>
            <b/>
            <sz val="9"/>
            <color indexed="81"/>
            <rFont val="Tahoma"/>
            <family val="2"/>
          </rPr>
          <t xml:space="preserve">Chinese with heavier weighting
</t>
        </r>
      </text>
    </comment>
    <comment ref="C69" authorId="0" shapeId="0" xr:uid="{76E65FA8-91C9-4E93-B20F-812CC7C7E9E1}">
      <text>
        <r>
          <rPr>
            <b/>
            <sz val="9"/>
            <color indexed="81"/>
            <rFont val="Tahoma"/>
            <family val="2"/>
          </rPr>
          <t>Literature in English is preferred
English with heavier weighting</t>
        </r>
      </text>
    </comment>
    <comment ref="C70" authorId="0" shapeId="0" xr:uid="{39E10D58-CCBD-4DCB-92A5-12832697AE67}">
      <text>
        <r>
          <rPr>
            <b/>
            <sz val="9"/>
            <color indexed="81"/>
            <rFont val="Tahoma"/>
            <family val="2"/>
          </rPr>
          <t>Visual Arts is preferred</t>
        </r>
        <r>
          <rPr>
            <sz val="9"/>
            <color indexed="81"/>
            <rFont val="Tahoma"/>
            <family val="2"/>
          </rPr>
          <t xml:space="preserve">
</t>
        </r>
      </text>
    </comment>
    <comment ref="C74" authorId="0" shapeId="0" xr:uid="{4C8C1BB2-1322-403D-A03D-0FA5294B4E42}">
      <text>
        <r>
          <rPr>
            <b/>
            <sz val="9"/>
            <color indexed="81"/>
            <rFont val="Tahoma"/>
            <family val="2"/>
          </rPr>
          <t xml:space="preserve">Music is preferred
</t>
        </r>
      </text>
    </comment>
    <comment ref="C75" authorId="0" shapeId="0" xr:uid="{957EDB52-5397-4562-9FA6-862BF1F4BFF1}">
      <text>
        <r>
          <rPr>
            <b/>
            <sz val="9"/>
            <color indexed="81"/>
            <rFont val="Tahoma"/>
            <family val="2"/>
          </rPr>
          <t>English and Chinese must be included</t>
        </r>
      </text>
    </comment>
    <comment ref="C79" authorId="0" shapeId="0" xr:uid="{71CA148A-7F49-4A82-BB22-A8B671F34666}">
      <text>
        <r>
          <rPr>
            <b/>
            <sz val="9"/>
            <color indexed="81"/>
            <rFont val="Tahoma"/>
            <family val="2"/>
          </rPr>
          <t>(a) English Language at Level 4 or above is preferred</t>
        </r>
      </text>
    </comment>
    <comment ref="C93" authorId="0" shapeId="0" xr:uid="{16240087-7CED-41FA-9652-644144B0DA47}">
      <text>
        <r>
          <rPr>
            <b/>
            <sz val="9"/>
            <color indexed="81"/>
            <rFont val="細明體"/>
            <family val="3"/>
            <charset val="136"/>
          </rPr>
          <t>中文、英文</t>
        </r>
        <r>
          <rPr>
            <b/>
            <sz val="9"/>
            <color indexed="81"/>
            <rFont val="Tahoma"/>
            <family val="2"/>
          </rPr>
          <t xml:space="preserve"> x 1.2, </t>
        </r>
        <r>
          <rPr>
            <b/>
            <sz val="9"/>
            <color indexed="81"/>
            <rFont val="細明體"/>
            <family val="3"/>
            <charset val="136"/>
          </rPr>
          <t>數學、</t>
        </r>
        <r>
          <rPr>
            <b/>
            <sz val="9"/>
            <color indexed="81"/>
            <rFont val="Tahoma"/>
            <family val="2"/>
          </rPr>
          <t>M1/2 x 1.5</t>
        </r>
      </text>
    </comment>
    <comment ref="C95" authorId="0" shapeId="0" xr:uid="{E5BC945C-63D0-4F9B-BAF0-85BAEA986EB4}">
      <text>
        <r>
          <rPr>
            <b/>
            <sz val="9"/>
            <color indexed="81"/>
            <rFont val="Tahoma"/>
            <family val="2"/>
          </rPr>
          <t>Mathematics (x 1.5)
• M1 or M2 (x 1.75)
• Biology, Chemistry, Combined Science, DAT, ICT, Physics (x 1.5)
• Liberal Studies (x 0.5)</t>
        </r>
        <r>
          <rPr>
            <sz val="9"/>
            <color indexed="81"/>
            <rFont val="Tahoma"/>
            <family val="2"/>
          </rPr>
          <t xml:space="preserve">
</t>
        </r>
      </text>
    </comment>
    <comment ref="C100" authorId="0" shapeId="0" xr:uid="{4B740E1E-7CD5-422F-A81D-3A13BDF18575}">
      <text>
        <r>
          <rPr>
            <b/>
            <sz val="9"/>
            <color indexed="81"/>
            <rFont val="Tahoma"/>
            <family val="2"/>
          </rPr>
          <t>The following subjects are preferred:
• M1/M2
• Biology
• Chemistry
• Combined Science
• ICT
• Physics
^ Candidates with Level 4 in Mathematics (Compulsory Part) and good results in other HKDSE subjects will be exceptionally considered on a case by case basis.</t>
        </r>
        <r>
          <rPr>
            <sz val="9"/>
            <color indexed="81"/>
            <rFont val="Tahoma"/>
            <family val="2"/>
          </rPr>
          <t xml:space="preserve">
</t>
        </r>
      </text>
    </comment>
    <comment ref="C103" authorId="0" shapeId="0" xr:uid="{42DAD488-5490-4A36-B5DF-F29D4214542A}">
      <text>
        <r>
          <rPr>
            <b/>
            <sz val="9"/>
            <color indexed="81"/>
            <rFont val="Tahoma"/>
            <family val="2"/>
          </rPr>
          <t>Subjects with heavier weighting:
• Biology, Chemistry, Combined Science, Integrated Science, Physics</t>
        </r>
      </text>
    </comment>
    <comment ref="C106" authorId="0" shapeId="0" xr:uid="{B8557074-C9B4-45DB-8771-3FF57C804757}">
      <text>
        <r>
          <rPr>
            <b/>
            <sz val="9"/>
            <color indexed="81"/>
            <rFont val="Tahoma"/>
            <family val="2"/>
          </rPr>
          <t>Preferred subjects for one of the two electives:
• Biology
• Chemistry
• Combined Science
• Integrated Science
• Physics</t>
        </r>
      </text>
    </comment>
    <comment ref="C108" authorId="0" shapeId="0" xr:uid="{826D1BAE-2383-44D0-8420-2C24CAC34DC7}">
      <text>
        <r>
          <rPr>
            <sz val="9"/>
            <color indexed="81"/>
            <rFont val="Tahoma"/>
            <family val="2"/>
          </rPr>
          <t>(a) Category A subjects only
(b) Preferred subjects:
• M1/M2
• Biology
• Chemistry
• Combined Science
• Economics
• Geography
• ICT
• Integrated Science
• Physics
• Tech and Living (FST)</t>
        </r>
      </text>
    </comment>
    <comment ref="C109" authorId="0" shapeId="0" xr:uid="{1223B782-DEEA-4686-A6BB-168667B91492}">
      <text>
        <r>
          <rPr>
            <b/>
            <sz val="9"/>
            <color indexed="81"/>
            <rFont val="Tahoma"/>
            <family val="2"/>
          </rPr>
          <t>Subjects with heavier weighting:
• English
• Mathematics
• M1 or M2
• Biology, Chemistry, Combined Science, Geography, Integrated Science, Physics</t>
        </r>
      </text>
    </comment>
    <comment ref="C110" authorId="0" shapeId="0" xr:uid="{4FDFBE3B-34B0-410C-BF37-CF3F2DA5B96A}">
      <text>
        <r>
          <rPr>
            <b/>
            <sz val="9"/>
            <color indexed="81"/>
            <rFont val="Tahoma"/>
            <family val="2"/>
          </rPr>
          <t>The programme places much heavier emphasis on M1 or M2</t>
        </r>
        <r>
          <rPr>
            <sz val="9"/>
            <color indexed="81"/>
            <rFont val="Tahoma"/>
            <family val="2"/>
          </rPr>
          <t xml:space="preserve">
</t>
        </r>
      </text>
    </comment>
    <comment ref="C111" authorId="0" shapeId="0" xr:uid="{8738F78C-A09B-40BF-BF30-BFC9D17C0105}">
      <text>
        <r>
          <rPr>
            <b/>
            <sz val="9"/>
            <color indexed="81"/>
            <rFont val="Tahoma"/>
            <family val="2"/>
          </rPr>
          <t>Subjects with heavier weighting:
• Mathematics
• M1 or M2
• Physics</t>
        </r>
        <r>
          <rPr>
            <sz val="9"/>
            <color indexed="81"/>
            <rFont val="Tahoma"/>
            <family val="2"/>
          </rPr>
          <t xml:space="preserve">
</t>
        </r>
      </text>
    </comment>
    <comment ref="C187" authorId="0" shapeId="0" xr:uid="{A216F5F9-A576-4124-BDCA-E30225E560AA}">
      <text>
        <r>
          <rPr>
            <b/>
            <sz val="9"/>
            <color indexed="81"/>
            <rFont val="細明體"/>
            <family val="3"/>
            <charset val="136"/>
          </rPr>
          <t>英文</t>
        </r>
        <r>
          <rPr>
            <b/>
            <sz val="9"/>
            <color indexed="81"/>
            <rFont val="Tahoma"/>
            <family val="2"/>
          </rPr>
          <t xml:space="preserve"> x1 </t>
        </r>
        <r>
          <rPr>
            <b/>
            <sz val="9"/>
            <color indexed="81"/>
            <rFont val="細明體"/>
            <family val="3"/>
            <charset val="136"/>
          </rPr>
          <t>數學</t>
        </r>
        <r>
          <rPr>
            <b/>
            <sz val="9"/>
            <color indexed="81"/>
            <rFont val="Tahoma"/>
            <family val="2"/>
          </rPr>
          <t xml:space="preserve"> x1
+</t>
        </r>
        <r>
          <rPr>
            <b/>
            <sz val="9"/>
            <color indexed="81"/>
            <rFont val="細明體"/>
            <family val="3"/>
            <charset val="136"/>
          </rPr>
          <t xml:space="preserve">
最佳兩科</t>
        </r>
        <r>
          <rPr>
            <b/>
            <sz val="9"/>
            <color indexed="81"/>
            <rFont val="Tahoma"/>
            <family val="2"/>
          </rPr>
          <t xml:space="preserve"> x1
(</t>
        </r>
        <r>
          <rPr>
            <sz val="9"/>
            <color indexed="81"/>
            <rFont val="Tahoma"/>
            <family val="2"/>
          </rPr>
          <t xml:space="preserve">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
</t>
        </r>
        <r>
          <rPr>
            <b/>
            <sz val="9"/>
            <color indexed="81"/>
            <rFont val="細明體"/>
            <family val="3"/>
            <charset val="136"/>
          </rPr>
          <t>最佳一科</t>
        </r>
        <r>
          <rPr>
            <b/>
            <sz val="9"/>
            <color indexed="81"/>
            <rFont val="Tahoma"/>
            <family val="2"/>
          </rPr>
          <t xml:space="preserve"> x1</t>
        </r>
        <r>
          <rPr>
            <sz val="9"/>
            <color indexed="81"/>
            <rFont val="Tahoma"/>
            <family val="2"/>
          </rPr>
          <t xml:space="preserve">
</t>
        </r>
      </text>
    </comment>
    <comment ref="C188" authorId="0" shapeId="0" xr:uid="{4B91A779-5292-4AEC-AD9E-C071878F2A73}">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C189" authorId="0" shapeId="0" xr:uid="{4B939A79-EB20-4000-8A7B-B42F93904813}">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t>
        </r>
        <r>
          <rPr>
            <sz val="9"/>
            <color indexed="81"/>
            <rFont val="細明體"/>
            <family val="3"/>
            <charset val="136"/>
          </rPr>
          <t xml:space="preserve">
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x2
(M1/2 /</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 x1</t>
        </r>
      </text>
    </comment>
    <comment ref="C190" authorId="0" shapeId="0" xr:uid="{29AA2805-B473-4974-9545-6F81A23F4437}">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C191" authorId="0" shapeId="0" xr:uid="{F91F15A3-8AFC-4B02-9705-CEF9306E9613}">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/DAT)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t>
        </r>
      </text>
    </comment>
    <comment ref="C192" authorId="0" shapeId="0" xr:uid="{4F88492F-8F14-4992-946C-AD9C101FEB45}">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93" authorId="0" shapeId="0" xr:uid="{51B665B1-D48B-4BF8-A289-2D43BEEBBDA7}">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94" authorId="0" shapeId="0" xr:uid="{45CA732E-69AD-4865-A326-E160D0E106CA}">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195" authorId="0" shapeId="0" xr:uid="{08330CFA-6473-40ED-A554-AA5E32FD226E}">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96" authorId="0" shapeId="0" xr:uid="{3B4FB1B7-4E27-4121-B422-D4AD73F3A898}">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97" authorId="0" shapeId="0" xr:uid="{FFB06AC0-6846-4002-9D2A-B16791A3CE87}">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98" authorId="0" shapeId="0" xr:uid="{E22BB2C7-CA33-4E15-8C1D-674DD0EB4C89}">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199" authorId="0" shapeId="0" xr:uid="{A33FBEB4-06FE-4E78-B4C1-C364E0A16ED9}">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00" authorId="0" shapeId="0" xr:uid="{44ED443B-23C4-457E-BCE9-C1E0FDCB3E74}">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01" authorId="0" shapeId="0" xr:uid="{8AF0B465-8B65-495B-A28A-2A043A52DB84}">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202" authorId="0" shapeId="0" xr:uid="{F9805436-B00A-4E35-AA23-4CF0AD9D50C9}">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203" authorId="0" shapeId="0" xr:uid="{8921FCAC-9450-4D86-9835-AF7E63C24319}">
      <text>
        <r>
          <rPr>
            <sz val="9"/>
            <color indexed="81"/>
            <rFont val="細明體"/>
            <family val="3"/>
            <charset val="136"/>
          </rPr>
          <t>英文</t>
        </r>
        <r>
          <rPr>
            <sz val="9"/>
            <color indexed="81"/>
            <rFont val="Tahoma"/>
            <family val="2"/>
          </rPr>
          <t xml:space="preserve"> x2 </t>
        </r>
        <r>
          <rPr>
            <sz val="9"/>
            <color indexed="81"/>
            <rFont val="細明體"/>
            <family val="3"/>
            <charset val="136"/>
          </rPr>
          <t>中文</t>
        </r>
        <r>
          <rPr>
            <sz val="9"/>
            <color indexed="81"/>
            <rFont val="Tahoma"/>
            <family val="2"/>
          </rPr>
          <t xml:space="preserve"> x1.5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C204" authorId="0" shapeId="0" xr:uid="{096438D6-3F1A-493A-8C6C-983C2FD16B81}">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C205" authorId="0" shapeId="0" xr:uid="{ECB7A164-73C3-4F31-B420-FE08C7B3F634}">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最佳下列理科</t>
        </r>
        <r>
          <rPr>
            <sz val="9"/>
            <color indexed="81"/>
            <rFont val="Tahoma"/>
            <family val="2"/>
          </rPr>
          <t xml:space="preserve"> x1.5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ml:space="preserve">)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t>
        </r>
      </text>
    </comment>
    <comment ref="C206" authorId="0" shapeId="0" xr:uid="{1C5E3724-1CD4-440F-89C8-85FBD19AABCC}">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C207" authorId="0" shapeId="0" xr:uid="{89736C6F-14AE-4F48-A30C-5F6E2E21E1E7}">
      <text>
        <r>
          <rPr>
            <b/>
            <sz val="9"/>
            <color indexed="81"/>
            <rFont val="細明體"/>
            <family val="3"/>
            <charset val="136"/>
          </rPr>
          <t>英文</t>
        </r>
        <r>
          <rPr>
            <b/>
            <sz val="9"/>
            <color indexed="81"/>
            <rFont val="Tahoma"/>
            <family val="2"/>
          </rPr>
          <t xml:space="preserve"> x2 </t>
        </r>
        <r>
          <rPr>
            <b/>
            <sz val="9"/>
            <color indexed="81"/>
            <rFont val="細明體"/>
            <family val="3"/>
            <charset val="136"/>
          </rPr>
          <t>數學</t>
        </r>
        <r>
          <rPr>
            <b/>
            <sz val="9"/>
            <color indexed="81"/>
            <rFont val="Tahoma"/>
            <family val="2"/>
          </rPr>
          <t xml:space="preserve"> x2</t>
        </r>
        <r>
          <rPr>
            <sz val="9"/>
            <color indexed="81"/>
            <rFont val="Tahoma"/>
            <family val="2"/>
          </rPr>
          <t xml:space="preserve">
+
</t>
        </r>
        <r>
          <rPr>
            <b/>
            <sz val="9"/>
            <color indexed="81"/>
            <rFont val="Tahoma"/>
            <family val="2"/>
          </rPr>
          <t>M1/2 x 2</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最佳下列科目</t>
        </r>
        <r>
          <rPr>
            <b/>
            <sz val="9"/>
            <color indexed="81"/>
            <rFont val="Tahoma"/>
            <family val="2"/>
          </rPr>
          <t xml:space="preserve"> x1.5</t>
        </r>
        <r>
          <rPr>
            <sz val="9"/>
            <color indexed="81"/>
            <rFont val="Tahoma"/>
            <family val="2"/>
          </rPr>
          <t xml:space="preserve">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綜合科學</t>
        </r>
        <r>
          <rPr>
            <sz val="9"/>
            <color indexed="81"/>
            <rFont val="Tahoma"/>
            <family val="2"/>
          </rPr>
          <t>/</t>
        </r>
        <r>
          <rPr>
            <sz val="9"/>
            <color indexed="81"/>
            <rFont val="細明體"/>
            <family val="3"/>
            <charset val="136"/>
          </rPr>
          <t>經濟</t>
        </r>
        <r>
          <rPr>
            <sz val="9"/>
            <color indexed="81"/>
            <rFont val="Tahoma"/>
            <family val="2"/>
          </rPr>
          <t xml:space="preserve">)
+
</t>
        </r>
        <r>
          <rPr>
            <b/>
            <sz val="9"/>
            <color indexed="81"/>
            <rFont val="細明體"/>
            <family val="3"/>
            <charset val="136"/>
          </rPr>
          <t>最佳</t>
        </r>
        <r>
          <rPr>
            <b/>
            <sz val="9"/>
            <color indexed="81"/>
            <rFont val="Tahoma"/>
            <family val="2"/>
          </rPr>
          <t>3</t>
        </r>
        <r>
          <rPr>
            <b/>
            <sz val="9"/>
            <color indexed="81"/>
            <rFont val="細明體"/>
            <family val="3"/>
            <charset val="136"/>
          </rPr>
          <t>科</t>
        </r>
        <r>
          <rPr>
            <b/>
            <sz val="9"/>
            <color indexed="81"/>
            <rFont val="Tahoma"/>
            <family val="2"/>
          </rPr>
          <t xml:space="preserve"> x1</t>
        </r>
        <r>
          <rPr>
            <sz val="9"/>
            <color indexed="81"/>
            <rFont val="Tahoma"/>
            <family val="2"/>
          </rPr>
          <t xml:space="preserve">
</t>
        </r>
      </text>
    </comment>
    <comment ref="C208" authorId="0" shapeId="0" xr:uid="{14F6173C-B5A2-425B-8400-6643F2C084DA}">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C209" authorId="0" shapeId="0" xr:uid="{040E59A1-EE42-4448-BC8E-5DB29DFA0CE7}">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(M1/2 x1.5)
</t>
        </r>
      </text>
    </comment>
    <comment ref="C216" authorId="0" shapeId="0" xr:uid="{2467B5D3-F77C-434C-9D0B-FBB26CF57D4C}">
      <text>
        <r>
          <rPr>
            <b/>
            <sz val="9"/>
            <color indexed="81"/>
            <rFont val="細明體"/>
            <family val="3"/>
            <charset val="136"/>
          </rPr>
          <t>英文</t>
        </r>
        <r>
          <rPr>
            <b/>
            <sz val="9"/>
            <color indexed="81"/>
            <rFont val="Tahoma"/>
            <family val="2"/>
          </rPr>
          <t xml:space="preserve">x1.5
</t>
        </r>
      </text>
    </comment>
    <comment ref="C226" authorId="0" shapeId="0" xr:uid="{A591DD04-0B7F-4F00-8C08-96023317F3F3}">
      <text>
        <r>
          <rPr>
            <sz val="9"/>
            <color indexed="81"/>
            <rFont val="細明體"/>
            <family val="3"/>
            <charset val="136"/>
          </rPr>
          <t>英文</t>
        </r>
        <r>
          <rPr>
            <sz val="9"/>
            <color indexed="81"/>
            <rFont val="Tahoma"/>
            <family val="2"/>
          </rPr>
          <t xml:space="preserve">x2
</t>
        </r>
      </text>
    </comment>
    <comment ref="C227" authorId="0" shapeId="0" xr:uid="{396B8EDF-80E2-4AB2-8CFD-3FCDAAE23987}">
      <text>
        <r>
          <rPr>
            <sz val="9"/>
            <color indexed="81"/>
            <rFont val="細明體"/>
            <family val="3"/>
            <charset val="136"/>
          </rPr>
          <t>英文</t>
        </r>
        <r>
          <rPr>
            <sz val="9"/>
            <color indexed="81"/>
            <rFont val="Tahoma"/>
            <family val="2"/>
          </rPr>
          <t xml:space="preserve">x2
</t>
        </r>
      </text>
    </comment>
    <comment ref="C228" authorId="0" shapeId="0" xr:uid="{0B7AF89A-7582-430C-A2FC-C90789956485}">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 xml:space="preserve">x1.5
</t>
        </r>
      </text>
    </comment>
    <comment ref="C229" authorId="0" shapeId="0" xr:uid="{F23C6AD1-422F-49A6-80FC-37F12B58C031}">
      <text>
        <r>
          <rPr>
            <b/>
            <sz val="9"/>
            <color indexed="81"/>
            <rFont val="細明體"/>
            <family val="3"/>
            <charset val="136"/>
          </rPr>
          <t>英文</t>
        </r>
        <r>
          <rPr>
            <b/>
            <sz val="9"/>
            <color indexed="81"/>
            <rFont val="Tahoma"/>
            <family val="2"/>
          </rPr>
          <t>x2</t>
        </r>
        <r>
          <rPr>
            <sz val="9"/>
            <color indexed="81"/>
            <rFont val="Tahoma"/>
            <family val="2"/>
          </rPr>
          <t xml:space="preserve">
</t>
        </r>
      </text>
    </comment>
    <comment ref="C230" authorId="0" shapeId="0" xr:uid="{693AB060-C5ED-4029-9297-25FC8E2C2BFA}">
      <text>
        <r>
          <rPr>
            <b/>
            <sz val="9"/>
            <color indexed="81"/>
            <rFont val="細明體"/>
            <family val="3"/>
            <charset val="136"/>
          </rPr>
          <t>英文</t>
        </r>
        <r>
          <rPr>
            <b/>
            <sz val="9"/>
            <color indexed="81"/>
            <rFont val="Tahoma"/>
            <family val="2"/>
          </rPr>
          <t xml:space="preserve">x2, </t>
        </r>
        <r>
          <rPr>
            <b/>
            <sz val="9"/>
            <color indexed="81"/>
            <rFont val="細明體"/>
            <family val="3"/>
            <charset val="136"/>
          </rPr>
          <t>數學</t>
        </r>
        <r>
          <rPr>
            <b/>
            <sz val="9"/>
            <color indexed="81"/>
            <rFont val="Tahoma"/>
            <family val="2"/>
          </rPr>
          <t xml:space="preserve">x2.5, </t>
        </r>
        <r>
          <rPr>
            <b/>
            <sz val="9"/>
            <color indexed="81"/>
            <rFont val="細明體"/>
            <family val="3"/>
            <charset val="136"/>
          </rPr>
          <t>化學</t>
        </r>
        <r>
          <rPr>
            <b/>
            <sz val="9"/>
            <color indexed="81"/>
            <rFont val="Tahoma"/>
            <family val="2"/>
          </rPr>
          <t>/</t>
        </r>
        <r>
          <rPr>
            <b/>
            <sz val="9"/>
            <color indexed="81"/>
            <rFont val="細明體"/>
            <family val="3"/>
            <charset val="136"/>
          </rPr>
          <t>物理</t>
        </r>
        <r>
          <rPr>
            <b/>
            <sz val="9"/>
            <color indexed="81"/>
            <rFont val="Tahoma"/>
            <family val="2"/>
          </rPr>
          <t>/</t>
        </r>
        <r>
          <rPr>
            <b/>
            <sz val="9"/>
            <color indexed="81"/>
            <rFont val="細明體"/>
            <family val="3"/>
            <charset val="136"/>
          </rPr>
          <t>組合科學</t>
        </r>
        <r>
          <rPr>
            <b/>
            <sz val="9"/>
            <color indexed="81"/>
            <rFont val="Tahoma"/>
            <family val="2"/>
          </rPr>
          <t>(</t>
        </r>
        <r>
          <rPr>
            <b/>
            <sz val="9"/>
            <color indexed="81"/>
            <rFont val="細明體"/>
            <family val="3"/>
            <charset val="136"/>
          </rPr>
          <t>物理、化學</t>
        </r>
        <r>
          <rPr>
            <b/>
            <sz val="9"/>
            <color indexed="81"/>
            <rFont val="Tahoma"/>
            <family val="2"/>
          </rPr>
          <t>)x2.5</t>
        </r>
      </text>
    </comment>
    <comment ref="C232" authorId="0" shapeId="0" xr:uid="{39FFD4A1-C5D6-4BAD-874E-1C8AC97E0742}">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C233" authorId="0" shapeId="0" xr:uid="{9DD0A512-B235-4948-8EF6-AA4E01CD9AD2}">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C234" authorId="0" shapeId="0" xr:uid="{9017C498-95A1-48C5-9D8B-A8AAF0220742}">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C235" authorId="0" shapeId="0" xr:uid="{4EF29958-C3B1-41DE-BA16-EFC030B504A3}">
      <text>
        <r>
          <rPr>
            <b/>
            <sz val="9"/>
            <color indexed="81"/>
            <rFont val="細明體"/>
            <family val="3"/>
            <charset val="136"/>
          </rPr>
          <t>英文</t>
        </r>
        <r>
          <rPr>
            <b/>
            <sz val="9"/>
            <color indexed="81"/>
            <rFont val="Tahoma"/>
            <family val="2"/>
          </rPr>
          <t>x2</t>
        </r>
        <r>
          <rPr>
            <sz val="9"/>
            <color indexed="81"/>
            <rFont val="Tahoma"/>
            <family val="2"/>
          </rPr>
          <t xml:space="preserve">
</t>
        </r>
      </text>
    </comment>
    <comment ref="C236" authorId="0" shapeId="0" xr:uid="{CF189B15-D57D-4A21-942C-CCC30139723C}">
      <text>
        <r>
          <rPr>
            <b/>
            <sz val="9"/>
            <color indexed="81"/>
            <rFont val="細明體"/>
            <family val="3"/>
            <charset val="136"/>
          </rPr>
          <t>英文</t>
        </r>
        <r>
          <rPr>
            <b/>
            <sz val="9"/>
            <color indexed="81"/>
            <rFont val="Tahoma"/>
            <family val="2"/>
          </rPr>
          <t>x2</t>
        </r>
        <r>
          <rPr>
            <sz val="9"/>
            <color indexed="81"/>
            <rFont val="Tahoma"/>
            <family val="2"/>
          </rPr>
          <t xml:space="preserve">
</t>
        </r>
      </text>
    </comment>
    <comment ref="C237" authorId="0" shapeId="0" xr:uid="{BEAD1E74-208E-409D-9DDE-B56E487E7CAE}">
      <text>
        <r>
          <rPr>
            <b/>
            <sz val="9"/>
            <color indexed="81"/>
            <rFont val="Tahoma"/>
            <family val="2"/>
          </rPr>
          <t>(2020</t>
        </r>
        <r>
          <rPr>
            <b/>
            <sz val="9"/>
            <color indexed="81"/>
            <rFont val="細明體"/>
            <family val="3"/>
            <charset val="136"/>
          </rPr>
          <t>年改為所有科目</t>
        </r>
        <r>
          <rPr>
            <b/>
            <sz val="9"/>
            <color indexed="81"/>
            <rFont val="Tahoma"/>
            <family val="2"/>
          </rPr>
          <t xml:space="preserve">x1)
</t>
        </r>
        <r>
          <rPr>
            <b/>
            <sz val="9"/>
            <color indexed="81"/>
            <rFont val="細明體"/>
            <family val="3"/>
            <charset val="136"/>
          </rPr>
          <t>英文</t>
        </r>
        <r>
          <rPr>
            <b/>
            <sz val="9"/>
            <color indexed="81"/>
            <rFont val="Tahoma"/>
            <family val="2"/>
          </rPr>
          <t>x2</t>
        </r>
        <r>
          <rPr>
            <b/>
            <sz val="9"/>
            <color indexed="81"/>
            <rFont val="細明體"/>
            <family val="3"/>
            <charset val="136"/>
          </rPr>
          <t>，通識</t>
        </r>
        <r>
          <rPr>
            <b/>
            <sz val="9"/>
            <color indexed="81"/>
            <rFont val="Tahoma"/>
            <family val="2"/>
          </rPr>
          <t>x1.5</t>
        </r>
      </text>
    </comment>
    <comment ref="C238" authorId="0" shapeId="0" xr:uid="{CE40D9BA-1B56-4531-BE67-DC3023074CC3}">
      <text>
        <r>
          <rPr>
            <b/>
            <sz val="9"/>
            <color indexed="81"/>
            <rFont val="Tahoma"/>
            <family val="2"/>
          </rPr>
          <t xml:space="preserve">x2: </t>
        </r>
        <r>
          <rPr>
            <b/>
            <sz val="9"/>
            <color indexed="81"/>
            <rFont val="細明體"/>
            <family val="3"/>
            <charset val="136"/>
          </rPr>
          <t xml:space="preserve">中文，英文
</t>
        </r>
        <r>
          <rPr>
            <b/>
            <sz val="9"/>
            <color indexed="81"/>
            <rFont val="Tahoma"/>
            <family val="2"/>
          </rPr>
          <t xml:space="preserve">x1.5: </t>
        </r>
        <r>
          <rPr>
            <b/>
            <sz val="9"/>
            <color indexed="81"/>
            <rFont val="細明體"/>
            <family val="3"/>
            <charset val="136"/>
          </rPr>
          <t>通識</t>
        </r>
        <r>
          <rPr>
            <b/>
            <sz val="9"/>
            <color indexed="81"/>
            <rFont val="Tahoma"/>
            <family val="2"/>
          </rPr>
          <t>/</t>
        </r>
        <r>
          <rPr>
            <b/>
            <sz val="9"/>
            <color indexed="81"/>
            <rFont val="細明體"/>
            <family val="3"/>
            <charset val="136"/>
          </rPr>
          <t>中國歷史</t>
        </r>
        <r>
          <rPr>
            <b/>
            <sz val="9"/>
            <color indexed="81"/>
            <rFont val="Tahoma"/>
            <family val="2"/>
          </rPr>
          <t>/</t>
        </r>
        <r>
          <rPr>
            <b/>
            <sz val="9"/>
            <color indexed="81"/>
            <rFont val="細明體"/>
            <family val="3"/>
            <charset val="136"/>
          </rPr>
          <t>中國文學</t>
        </r>
        <r>
          <rPr>
            <b/>
            <sz val="9"/>
            <color indexed="81"/>
            <rFont val="Tahoma"/>
            <family val="2"/>
          </rPr>
          <t>/</t>
        </r>
        <r>
          <rPr>
            <b/>
            <sz val="9"/>
            <color indexed="81"/>
            <rFont val="細明體"/>
            <family val="3"/>
            <charset val="136"/>
          </rPr>
          <t>歷史</t>
        </r>
        <r>
          <rPr>
            <b/>
            <sz val="9"/>
            <color indexed="81"/>
            <rFont val="Tahoma"/>
            <family val="2"/>
          </rPr>
          <t>/</t>
        </r>
        <r>
          <rPr>
            <b/>
            <sz val="9"/>
            <color indexed="81"/>
            <rFont val="細明體"/>
            <family val="3"/>
            <charset val="136"/>
          </rPr>
          <t>視覺藝術</t>
        </r>
      </text>
    </comment>
    <comment ref="C239" authorId="0" shapeId="0" xr:uid="{A7DFCFFF-3F54-49FF-B9CD-75E3C08A9F6A}">
      <text>
        <r>
          <rPr>
            <b/>
            <sz val="9"/>
            <color indexed="81"/>
            <rFont val="細明體"/>
            <family val="3"/>
            <charset val="136"/>
          </rPr>
          <t>英文</t>
        </r>
        <r>
          <rPr>
            <b/>
            <sz val="9"/>
            <color indexed="81"/>
            <rFont val="Tahoma"/>
            <family val="2"/>
          </rPr>
          <t>x2.5</t>
        </r>
        <r>
          <rPr>
            <b/>
            <sz val="9"/>
            <color indexed="81"/>
            <rFont val="細明體"/>
            <family val="3"/>
            <charset val="136"/>
          </rPr>
          <t>，通識</t>
        </r>
        <r>
          <rPr>
            <b/>
            <sz val="9"/>
            <color indexed="81"/>
            <rFont val="Tahoma"/>
            <family val="2"/>
          </rPr>
          <t>x1.5</t>
        </r>
        <r>
          <rPr>
            <b/>
            <sz val="9"/>
            <color indexed="81"/>
            <rFont val="細明體"/>
            <family val="3"/>
            <charset val="136"/>
          </rPr>
          <t>，英國文學</t>
        </r>
        <r>
          <rPr>
            <b/>
            <sz val="9"/>
            <color indexed="81"/>
            <rFont val="Tahoma"/>
            <family val="2"/>
          </rPr>
          <t xml:space="preserve">x1.5
</t>
        </r>
        <r>
          <rPr>
            <sz val="9"/>
            <color indexed="81"/>
            <rFont val="Tahoma"/>
            <family val="2"/>
          </rPr>
          <t xml:space="preserve">
</t>
        </r>
      </text>
    </comment>
    <comment ref="C240" authorId="0" shapeId="0" xr:uid="{C86CC274-C87C-4D59-841D-039D15A689A8}">
      <text>
        <r>
          <rPr>
            <b/>
            <sz val="9"/>
            <color indexed="81"/>
            <rFont val="細明體"/>
            <family val="3"/>
            <charset val="136"/>
          </rPr>
          <t>中文</t>
        </r>
        <r>
          <rPr>
            <b/>
            <sz val="9"/>
            <color indexed="81"/>
            <rFont val="Tahoma"/>
            <family val="2"/>
          </rPr>
          <t>x1.5</t>
        </r>
        <r>
          <rPr>
            <b/>
            <sz val="9"/>
            <color indexed="81"/>
            <rFont val="細明體"/>
            <family val="3"/>
            <charset val="136"/>
          </rPr>
          <t>，英文</t>
        </r>
        <r>
          <rPr>
            <b/>
            <sz val="9"/>
            <color indexed="81"/>
            <rFont val="Tahoma"/>
            <family val="2"/>
          </rPr>
          <t>x2</t>
        </r>
        <r>
          <rPr>
            <sz val="9"/>
            <color indexed="81"/>
            <rFont val="Tahoma"/>
            <family val="2"/>
          </rPr>
          <t xml:space="preserve">
</t>
        </r>
      </text>
    </comment>
    <comment ref="C241" authorId="0" shapeId="0" xr:uid="{24E0D443-1A5B-4F77-96C6-12325EC22428}">
      <text>
        <r>
          <rPr>
            <b/>
            <sz val="9"/>
            <color indexed="81"/>
            <rFont val="細明體"/>
            <family val="3"/>
            <charset val="136"/>
          </rPr>
          <t>中文</t>
        </r>
        <r>
          <rPr>
            <b/>
            <sz val="9"/>
            <color indexed="81"/>
            <rFont val="Tahoma"/>
            <family val="2"/>
          </rPr>
          <t>x1.25</t>
        </r>
        <r>
          <rPr>
            <b/>
            <sz val="9"/>
            <color indexed="81"/>
            <rFont val="細明體"/>
            <family val="3"/>
            <charset val="136"/>
          </rPr>
          <t>，英文</t>
        </r>
        <r>
          <rPr>
            <b/>
            <sz val="9"/>
            <color indexed="81"/>
            <rFont val="Tahoma"/>
            <family val="2"/>
          </rPr>
          <t>x1.25</t>
        </r>
        <r>
          <rPr>
            <sz val="9"/>
            <color indexed="81"/>
            <rFont val="Tahoma"/>
            <family val="2"/>
          </rPr>
          <t xml:space="preserve">
</t>
        </r>
      </text>
    </comment>
    <comment ref="C242" authorId="0" shapeId="0" xr:uid="{8C75269A-093E-4182-89D3-542DEE911C5A}">
      <text>
        <r>
          <rPr>
            <b/>
            <sz val="9"/>
            <color indexed="81"/>
            <rFont val="細明體"/>
            <family val="3"/>
            <charset val="136"/>
          </rPr>
          <t>英文</t>
        </r>
        <r>
          <rPr>
            <b/>
            <sz val="9"/>
            <color indexed="81"/>
            <rFont val="Tahoma"/>
            <family val="2"/>
          </rPr>
          <t>x2</t>
        </r>
        <r>
          <rPr>
            <b/>
            <sz val="9"/>
            <color indexed="81"/>
            <rFont val="細明體"/>
            <family val="3"/>
            <charset val="136"/>
          </rPr>
          <t>，通識</t>
        </r>
        <r>
          <rPr>
            <b/>
            <sz val="9"/>
            <color indexed="81"/>
            <rFont val="Tahoma"/>
            <family val="2"/>
          </rPr>
          <t>x1.5</t>
        </r>
        <r>
          <rPr>
            <sz val="9"/>
            <color indexed="81"/>
            <rFont val="Tahoma"/>
            <family val="2"/>
          </rPr>
          <t xml:space="preserve">
</t>
        </r>
      </text>
    </comment>
    <comment ref="C243" authorId="0" shapeId="0" xr:uid="{CE587F5D-9903-43E4-85BA-AEC096B115A6}">
      <text>
        <r>
          <rPr>
            <b/>
            <sz val="9"/>
            <color indexed="81"/>
            <rFont val="細明體"/>
            <family val="3"/>
            <charset val="136"/>
          </rPr>
          <t>英文</t>
        </r>
        <r>
          <rPr>
            <b/>
            <sz val="9"/>
            <color indexed="81"/>
            <rFont val="Tahoma"/>
            <family val="2"/>
          </rPr>
          <t>x2</t>
        </r>
        <r>
          <rPr>
            <sz val="9"/>
            <color indexed="81"/>
            <rFont val="Tahoma"/>
            <family val="2"/>
          </rPr>
          <t xml:space="preserve">
</t>
        </r>
      </text>
    </comment>
    <comment ref="C244" authorId="0" shapeId="0" xr:uid="{A1679B94-7FC0-41CF-A140-7619D98BCF69}">
      <text>
        <r>
          <rPr>
            <b/>
            <sz val="9"/>
            <color indexed="81"/>
            <rFont val="細明體"/>
            <family val="3"/>
            <charset val="136"/>
          </rPr>
          <t>英文</t>
        </r>
        <r>
          <rPr>
            <b/>
            <sz val="9"/>
            <color indexed="81"/>
            <rFont val="Tahoma"/>
            <family val="2"/>
          </rPr>
          <t>x2</t>
        </r>
        <r>
          <rPr>
            <sz val="9"/>
            <color indexed="81"/>
            <rFont val="Tahoma"/>
            <family val="2"/>
          </rPr>
          <t xml:space="preserve">
</t>
        </r>
      </text>
    </comment>
    <comment ref="C245" authorId="0" shapeId="0" xr:uid="{ADB8D0E6-B22A-40CC-BF62-A4ED7A1E9A62}">
      <text>
        <r>
          <rPr>
            <b/>
            <sz val="9"/>
            <color indexed="81"/>
            <rFont val="細明體"/>
            <family val="3"/>
            <charset val="136"/>
          </rPr>
          <t>英文</t>
        </r>
        <r>
          <rPr>
            <b/>
            <sz val="9"/>
            <color indexed="81"/>
            <rFont val="Tahoma"/>
            <family val="2"/>
          </rPr>
          <t>x2</t>
        </r>
        <r>
          <rPr>
            <sz val="9"/>
            <color indexed="81"/>
            <rFont val="Tahoma"/>
            <family val="2"/>
          </rPr>
          <t xml:space="preserve">
</t>
        </r>
      </text>
    </comment>
    <comment ref="C246" authorId="0" shapeId="0" xr:uid="{9B2B4458-946A-46F4-B094-378F4BEED1DF}">
      <text>
        <r>
          <rPr>
            <b/>
            <sz val="9"/>
            <color indexed="81"/>
            <rFont val="細明體"/>
            <family val="3"/>
            <charset val="136"/>
          </rPr>
          <t>英文</t>
        </r>
        <r>
          <rPr>
            <b/>
            <sz val="9"/>
            <color indexed="81"/>
            <rFont val="Tahoma"/>
            <family val="2"/>
          </rPr>
          <t>x2</t>
        </r>
        <r>
          <rPr>
            <sz val="9"/>
            <color indexed="81"/>
            <rFont val="Tahoma"/>
            <family val="2"/>
          </rPr>
          <t xml:space="preserve">
</t>
        </r>
      </text>
    </comment>
    <comment ref="C247" authorId="0" shapeId="0" xr:uid="{701EAFFA-908C-4135-8521-66D2D5A770E9}">
      <text>
        <r>
          <rPr>
            <b/>
            <sz val="9"/>
            <color indexed="81"/>
            <rFont val="Tahoma"/>
            <family val="2"/>
          </rPr>
          <t xml:space="preserve">x2: </t>
        </r>
        <r>
          <rPr>
            <b/>
            <sz val="9"/>
            <color indexed="81"/>
            <rFont val="細明體"/>
            <family val="3"/>
            <charset val="136"/>
          </rPr>
          <t>英文，化學</t>
        </r>
        <r>
          <rPr>
            <b/>
            <sz val="9"/>
            <color indexed="81"/>
            <rFont val="Tahoma"/>
            <family val="2"/>
          </rPr>
          <t xml:space="preserve">x2
x1.5: </t>
        </r>
        <r>
          <rPr>
            <b/>
            <sz val="9"/>
            <color indexed="81"/>
            <rFont val="細明體"/>
            <family val="3"/>
            <charset val="136"/>
          </rPr>
          <t>數學，組合科學</t>
        </r>
        <r>
          <rPr>
            <b/>
            <sz val="9"/>
            <color indexed="81"/>
            <rFont val="Tahoma"/>
            <family val="2"/>
          </rPr>
          <t>(</t>
        </r>
        <r>
          <rPr>
            <b/>
            <sz val="9"/>
            <color indexed="81"/>
            <rFont val="細明體"/>
            <family val="3"/>
            <charset val="136"/>
          </rPr>
          <t>化學</t>
        </r>
        <r>
          <rPr>
            <b/>
            <sz val="9"/>
            <color indexed="81"/>
            <rFont val="Tahoma"/>
            <family val="2"/>
          </rPr>
          <t>)</t>
        </r>
      </text>
    </comment>
    <comment ref="C248" authorId="0" shapeId="0" xr:uid="{F1A3D0DE-6CA9-40F7-A16A-C3C1D8A3978E}">
      <text>
        <r>
          <rPr>
            <b/>
            <sz val="9"/>
            <color indexed="81"/>
            <rFont val="細明體"/>
            <family val="3"/>
            <charset val="136"/>
          </rPr>
          <t>英文</t>
        </r>
        <r>
          <rPr>
            <b/>
            <sz val="9"/>
            <color indexed="81"/>
            <rFont val="Tahoma"/>
            <family val="2"/>
          </rPr>
          <t>x2</t>
        </r>
        <r>
          <rPr>
            <sz val="9"/>
            <color indexed="81"/>
            <rFont val="Tahoma"/>
            <family val="2"/>
          </rPr>
          <t xml:space="preserve">
</t>
        </r>
      </text>
    </comment>
    <comment ref="C249" authorId="0" shapeId="0" xr:uid="{F7AC0F50-B39D-4B78-8372-0669298CCA8C}">
      <text>
        <r>
          <rPr>
            <b/>
            <sz val="9"/>
            <color indexed="81"/>
            <rFont val="Tahoma"/>
            <family val="2"/>
          </rPr>
          <t xml:space="preserve">x2: </t>
        </r>
        <r>
          <rPr>
            <b/>
            <sz val="9"/>
            <color indexed="81"/>
            <rFont val="細明體"/>
            <family val="3"/>
            <charset val="136"/>
          </rPr>
          <t>英文，數學，組合科學</t>
        </r>
        <r>
          <rPr>
            <b/>
            <sz val="9"/>
            <color indexed="81"/>
            <rFont val="Tahoma"/>
            <family val="2"/>
          </rPr>
          <t>(</t>
        </r>
        <r>
          <rPr>
            <b/>
            <sz val="9"/>
            <color indexed="81"/>
            <rFont val="細明體"/>
            <family val="3"/>
            <charset val="136"/>
          </rPr>
          <t>物理、化學</t>
        </r>
        <r>
          <rPr>
            <b/>
            <sz val="9"/>
            <color indexed="81"/>
            <rFont val="Tahoma"/>
            <family val="2"/>
          </rPr>
          <t>)</t>
        </r>
        <r>
          <rPr>
            <b/>
            <sz val="9"/>
            <color indexed="81"/>
            <rFont val="細明體"/>
            <family val="3"/>
            <charset val="136"/>
          </rPr>
          <t>，組合科學</t>
        </r>
        <r>
          <rPr>
            <b/>
            <sz val="9"/>
            <color indexed="81"/>
            <rFont val="Tahoma"/>
            <family val="2"/>
          </rPr>
          <t>(</t>
        </r>
        <r>
          <rPr>
            <b/>
            <sz val="9"/>
            <color indexed="81"/>
            <rFont val="細明體"/>
            <family val="3"/>
            <charset val="136"/>
          </rPr>
          <t>物理、生物</t>
        </r>
        <r>
          <rPr>
            <b/>
            <sz val="9"/>
            <color indexed="81"/>
            <rFont val="Tahoma"/>
            <family val="2"/>
          </rPr>
          <t>)</t>
        </r>
        <r>
          <rPr>
            <b/>
            <sz val="9"/>
            <color indexed="81"/>
            <rFont val="細明體"/>
            <family val="3"/>
            <charset val="136"/>
          </rPr>
          <t>，物理，</t>
        </r>
        <r>
          <rPr>
            <b/>
            <sz val="9"/>
            <color indexed="81"/>
            <rFont val="Tahoma"/>
            <family val="2"/>
          </rPr>
          <t>ICT</t>
        </r>
        <r>
          <rPr>
            <b/>
            <sz val="9"/>
            <color indexed="81"/>
            <rFont val="細明體"/>
            <family val="3"/>
            <charset val="136"/>
          </rPr>
          <t>，</t>
        </r>
        <r>
          <rPr>
            <b/>
            <sz val="9"/>
            <color indexed="81"/>
            <rFont val="Tahoma"/>
            <family val="2"/>
          </rPr>
          <t xml:space="preserve">M1/2
x1.5: </t>
        </r>
        <r>
          <rPr>
            <b/>
            <sz val="9"/>
            <color indexed="81"/>
            <rFont val="細明體"/>
            <family val="3"/>
            <charset val="136"/>
          </rPr>
          <t>組合科學</t>
        </r>
        <r>
          <rPr>
            <b/>
            <sz val="9"/>
            <color indexed="81"/>
            <rFont val="Tahoma"/>
            <family val="2"/>
          </rPr>
          <t>(</t>
        </r>
        <r>
          <rPr>
            <b/>
            <sz val="9"/>
            <color indexed="81"/>
            <rFont val="細明體"/>
            <family val="3"/>
            <charset val="136"/>
          </rPr>
          <t>生物、化學</t>
        </r>
        <r>
          <rPr>
            <b/>
            <sz val="9"/>
            <color indexed="81"/>
            <rFont val="Tahoma"/>
            <family val="2"/>
          </rPr>
          <t>)</t>
        </r>
        <r>
          <rPr>
            <b/>
            <sz val="9"/>
            <color indexed="81"/>
            <rFont val="細明體"/>
            <family val="3"/>
            <charset val="136"/>
          </rPr>
          <t>，生物，化學，綜合科學</t>
        </r>
        <r>
          <rPr>
            <sz val="9"/>
            <color indexed="81"/>
            <rFont val="Tahoma"/>
            <family val="2"/>
          </rPr>
          <t xml:space="preserve">
</t>
        </r>
      </text>
    </comment>
    <comment ref="C250" authorId="0" shapeId="0" xr:uid="{ACC2F80E-2276-4A1C-BEE5-BC9B6AC2F7EE}">
      <text>
        <r>
          <rPr>
            <b/>
            <sz val="9"/>
            <color indexed="81"/>
            <rFont val="Tahoma"/>
            <family val="2"/>
          </rPr>
          <t xml:space="preserve">x2.5: </t>
        </r>
        <r>
          <rPr>
            <b/>
            <sz val="9"/>
            <color indexed="81"/>
            <rFont val="細明體"/>
            <family val="3"/>
            <charset val="136"/>
          </rPr>
          <t>數學</t>
        </r>
        <r>
          <rPr>
            <b/>
            <sz val="9"/>
            <color indexed="81"/>
            <rFont val="Tahoma"/>
            <family val="2"/>
          </rPr>
          <t xml:space="preserve">
x2: </t>
        </r>
        <r>
          <rPr>
            <b/>
            <sz val="9"/>
            <color indexed="81"/>
            <rFont val="細明體"/>
            <family val="3"/>
            <charset val="136"/>
          </rPr>
          <t>英文、</t>
        </r>
        <r>
          <rPr>
            <b/>
            <sz val="9"/>
            <color indexed="81"/>
            <rFont val="Tahoma"/>
            <family val="2"/>
          </rPr>
          <t xml:space="preserve">M1/2
x1.5: </t>
        </r>
        <r>
          <rPr>
            <b/>
            <sz val="9"/>
            <color indexed="81"/>
            <rFont val="細明體"/>
            <family val="3"/>
            <charset val="136"/>
          </rPr>
          <t>組合科學，生物，化學，物理</t>
        </r>
        <r>
          <rPr>
            <sz val="9"/>
            <color indexed="81"/>
            <rFont val="Tahoma"/>
            <family val="2"/>
          </rPr>
          <t xml:space="preserve">
</t>
        </r>
      </text>
    </comment>
    <comment ref="C251" authorId="0" shapeId="0" xr:uid="{C37A10FA-DD44-4583-A05C-DA7E4810C83F}">
      <text>
        <r>
          <rPr>
            <b/>
            <sz val="9"/>
            <color indexed="81"/>
            <rFont val="Tahoma"/>
            <family val="2"/>
          </rPr>
          <t xml:space="preserve">x2: </t>
        </r>
        <r>
          <rPr>
            <b/>
            <sz val="9"/>
            <color indexed="81"/>
            <rFont val="細明體"/>
            <family val="3"/>
            <charset val="136"/>
          </rPr>
          <t>英文，數學，物理</t>
        </r>
        <r>
          <rPr>
            <b/>
            <sz val="9"/>
            <color indexed="81"/>
            <rFont val="Tahoma"/>
            <family val="2"/>
          </rPr>
          <t xml:space="preserve">
x1.5: </t>
        </r>
        <r>
          <rPr>
            <b/>
            <sz val="9"/>
            <color indexed="81"/>
            <rFont val="細明體"/>
            <family val="3"/>
            <charset val="136"/>
          </rPr>
          <t>組合科學</t>
        </r>
        <r>
          <rPr>
            <b/>
            <sz val="9"/>
            <color indexed="81"/>
            <rFont val="Tahoma"/>
            <family val="2"/>
          </rPr>
          <t>(</t>
        </r>
        <r>
          <rPr>
            <b/>
            <sz val="9"/>
            <color indexed="81"/>
            <rFont val="細明體"/>
            <family val="3"/>
            <charset val="136"/>
          </rPr>
          <t>生物、化學</t>
        </r>
        <r>
          <rPr>
            <b/>
            <sz val="9"/>
            <color indexed="81"/>
            <rFont val="Tahoma"/>
            <family val="2"/>
          </rPr>
          <t>)</t>
        </r>
        <r>
          <rPr>
            <b/>
            <sz val="9"/>
            <color indexed="81"/>
            <rFont val="細明體"/>
            <family val="3"/>
            <charset val="136"/>
          </rPr>
          <t>，化學，</t>
        </r>
        <r>
          <rPr>
            <b/>
            <sz val="9"/>
            <color indexed="81"/>
            <rFont val="Tahoma"/>
            <family val="2"/>
          </rPr>
          <t>DAT</t>
        </r>
        <r>
          <rPr>
            <b/>
            <sz val="9"/>
            <color indexed="81"/>
            <rFont val="細明體"/>
            <family val="3"/>
            <charset val="136"/>
          </rPr>
          <t>，</t>
        </r>
        <r>
          <rPr>
            <b/>
            <sz val="9"/>
            <color indexed="81"/>
            <rFont val="Tahoma"/>
            <family val="2"/>
          </rPr>
          <t>M1/2</t>
        </r>
        <r>
          <rPr>
            <sz val="9"/>
            <color indexed="81"/>
            <rFont val="Tahoma"/>
            <family val="2"/>
          </rPr>
          <t xml:space="preserve">
</t>
        </r>
      </text>
    </comment>
    <comment ref="C252" authorId="0" shapeId="0" xr:uid="{EE9A7804-A54F-4C47-8B2C-6EEEEC98B97C}">
      <text>
        <r>
          <rPr>
            <b/>
            <sz val="9"/>
            <color indexed="81"/>
            <rFont val="Tahoma"/>
            <family val="2"/>
          </rPr>
          <t xml:space="preserve">x2: </t>
        </r>
        <r>
          <rPr>
            <b/>
            <sz val="9"/>
            <color indexed="81"/>
            <rFont val="細明體"/>
            <family val="3"/>
            <charset val="136"/>
          </rPr>
          <t xml:space="preserve">英文，物理
</t>
        </r>
        <r>
          <rPr>
            <b/>
            <sz val="9"/>
            <color indexed="81"/>
            <rFont val="Tahoma"/>
            <family val="2"/>
          </rPr>
          <t xml:space="preserve">x1.5: M1/2
x1.25: </t>
        </r>
        <r>
          <rPr>
            <b/>
            <sz val="9"/>
            <color indexed="81"/>
            <rFont val="細明體"/>
            <family val="3"/>
            <charset val="136"/>
          </rPr>
          <t xml:space="preserve">數學
</t>
        </r>
        <r>
          <rPr>
            <sz val="9"/>
            <color indexed="81"/>
            <rFont val="Tahoma"/>
            <family val="2"/>
          </rPr>
          <t xml:space="preserve">
</t>
        </r>
      </text>
    </comment>
    <comment ref="C253" authorId="0" shapeId="0" xr:uid="{96E51548-40C1-4195-91B5-0621B3D826A1}">
      <text>
        <r>
          <rPr>
            <b/>
            <sz val="9"/>
            <color indexed="81"/>
            <rFont val="Tahoma"/>
            <family val="2"/>
          </rPr>
          <t xml:space="preserve">x2: </t>
        </r>
        <r>
          <rPr>
            <b/>
            <sz val="9"/>
            <color indexed="81"/>
            <rFont val="細明體"/>
            <family val="3"/>
            <charset val="136"/>
          </rPr>
          <t xml:space="preserve">英文，物理
</t>
        </r>
        <r>
          <rPr>
            <b/>
            <sz val="9"/>
            <color indexed="81"/>
            <rFont val="Tahoma"/>
            <family val="2"/>
          </rPr>
          <t>x1.5: M1/2</t>
        </r>
        <r>
          <rPr>
            <b/>
            <sz val="9"/>
            <color indexed="81"/>
            <rFont val="細明體"/>
            <family val="3"/>
            <charset val="136"/>
          </rPr>
          <t xml:space="preserve">，化學
</t>
        </r>
        <r>
          <rPr>
            <sz val="9"/>
            <color indexed="81"/>
            <rFont val="Tahoma"/>
            <family val="2"/>
          </rPr>
          <t xml:space="preserve">
</t>
        </r>
      </text>
    </comment>
    <comment ref="C254" authorId="0" shapeId="0" xr:uid="{E923FAC9-F0F2-464C-8AFF-7825433F1D8A}">
      <text>
        <r>
          <rPr>
            <b/>
            <sz val="9"/>
            <color indexed="81"/>
            <rFont val="Tahoma"/>
            <family val="2"/>
          </rPr>
          <t xml:space="preserve">x2: </t>
        </r>
        <r>
          <rPr>
            <b/>
            <sz val="9"/>
            <color indexed="81"/>
            <rFont val="細明體"/>
            <family val="3"/>
            <charset val="136"/>
          </rPr>
          <t xml:space="preserve">英文，數學，化學，物理，生物，組合科學
</t>
        </r>
        <r>
          <rPr>
            <sz val="9"/>
            <color indexed="81"/>
            <rFont val="Tahoma"/>
            <family val="2"/>
          </rPr>
          <t xml:space="preserve">
</t>
        </r>
      </text>
    </comment>
    <comment ref="C255" authorId="0" shapeId="0" xr:uid="{09E65B14-8F5F-463D-99FC-7BE58F1E3BD2}">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C256" authorId="0" shapeId="0" xr:uid="{78E5AF32-12B6-4EB4-9FA0-0510AFEE7DA0}">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C257" authorId="0" shapeId="0" xr:uid="{8EDF6FAC-2C01-4378-BEE3-B78F0503D6FA}">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C258" authorId="0" shapeId="0" xr:uid="{A1C51792-D80D-49C5-85BF-EC1834B68457}">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C260" authorId="0" shapeId="0" xr:uid="{3DFDB5C1-7722-4C0F-A21D-23B3E5A1767E}">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C261" authorId="0" shapeId="0" xr:uid="{A939C470-C313-498C-A88A-286A082FA380}">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C262" authorId="0" shapeId="0" xr:uid="{9D40F33D-C769-4B28-BEB5-0BE363AB3444}">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C304" authorId="0" shapeId="0" xr:uid="{A6FB2514-139E-4F62-BF8D-962CED84DA66}">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C305" authorId="0" shapeId="0" xr:uid="{46D42772-07B0-411D-9CEB-3C586BE118C0}">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t>
        </r>
        <r>
          <rPr>
            <sz val="9"/>
            <color indexed="81"/>
            <rFont val="Tahoma"/>
            <family val="2"/>
          </rPr>
          <t xml:space="preserve">
</t>
        </r>
      </text>
    </comment>
    <comment ref="C311" authorId="0" shapeId="0" xr:uid="{4E9B27DD-7CDA-468C-AC51-5EE386EF3EB5}">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C312" authorId="0" shapeId="0" xr:uid="{4A4C8FB2-0915-4306-86A7-2CA63D7CBD75}">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英文</t>
        </r>
        <r>
          <rPr>
            <b/>
            <sz val="9"/>
            <color indexed="81"/>
            <rFont val="Tahoma"/>
            <family val="2"/>
          </rPr>
          <t xml:space="preserve"> x2</t>
        </r>
        <r>
          <rPr>
            <b/>
            <sz val="9"/>
            <color indexed="81"/>
            <rFont val="細明體"/>
            <family val="3"/>
            <charset val="136"/>
          </rPr>
          <t>、英國文學</t>
        </r>
        <r>
          <rPr>
            <b/>
            <sz val="9"/>
            <color indexed="81"/>
            <rFont val="Tahoma"/>
            <family val="2"/>
          </rPr>
          <t xml:space="preserve"> x2
</t>
        </r>
        <r>
          <rPr>
            <b/>
            <sz val="9"/>
            <color indexed="81"/>
            <rFont val="細明體"/>
            <family val="3"/>
            <charset val="136"/>
          </rPr>
          <t>中文、中國文學、通識、數學</t>
        </r>
        <r>
          <rPr>
            <b/>
            <sz val="9"/>
            <color indexed="81"/>
            <rFont val="Tahoma"/>
            <family val="2"/>
          </rPr>
          <t xml:space="preserve"> x1.5</t>
        </r>
      </text>
    </comment>
    <comment ref="C313" authorId="0" shapeId="0" xr:uid="{BFAD0101-D6B8-4CD9-8E60-A1C8E6E44D10}">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C314" authorId="0" shapeId="0" xr:uid="{8B34F324-A2AD-47B0-B87C-C820E6BD4EF4}">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英文</t>
        </r>
        <r>
          <rPr>
            <b/>
            <sz val="9"/>
            <color indexed="81"/>
            <rFont val="Tahoma"/>
            <family val="2"/>
          </rPr>
          <t xml:space="preserve"> x1.5
</t>
        </r>
      </text>
    </comment>
    <comment ref="C315" authorId="0" shapeId="0" xr:uid="{D2969EC8-9CC7-4981-9B8B-45ED6B75C73F}">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英文</t>
        </r>
        <r>
          <rPr>
            <b/>
            <sz val="9"/>
            <color indexed="81"/>
            <rFont val="Tahoma"/>
            <family val="2"/>
          </rPr>
          <t xml:space="preserve"> x1.5
</t>
        </r>
      </text>
    </comment>
    <comment ref="C316" authorId="0" shapeId="0" xr:uid="{4532CBD9-13CF-4B8E-BB91-06231920543B}">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包括中、英文</t>
        </r>
        <r>
          <rPr>
            <b/>
            <sz val="9"/>
            <color indexed="81"/>
            <rFont val="Tahoma"/>
            <family val="2"/>
          </rPr>
          <t>)</t>
        </r>
        <r>
          <rPr>
            <b/>
            <sz val="9"/>
            <color indexed="81"/>
            <rFont val="細明體"/>
            <family val="3"/>
            <charset val="136"/>
          </rPr>
          <t xml:space="preserve">
中文、英文</t>
        </r>
        <r>
          <rPr>
            <b/>
            <sz val="9"/>
            <color indexed="81"/>
            <rFont val="Tahoma"/>
            <family val="2"/>
          </rPr>
          <t xml:space="preserve"> x1.25</t>
        </r>
      </text>
    </comment>
    <comment ref="C317" authorId="0" shapeId="0" xr:uid="{73A5BD8A-3849-4C76-93F7-42E5915AE101}">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包括中、英文</t>
        </r>
        <r>
          <rPr>
            <b/>
            <sz val="9"/>
            <color indexed="81"/>
            <rFont val="Tahoma"/>
            <family val="2"/>
          </rPr>
          <t>)</t>
        </r>
        <r>
          <rPr>
            <b/>
            <sz val="9"/>
            <color indexed="81"/>
            <rFont val="細明體"/>
            <family val="3"/>
            <charset val="136"/>
          </rPr>
          <t xml:space="preserve">
中文、英文</t>
        </r>
        <r>
          <rPr>
            <b/>
            <sz val="9"/>
            <color indexed="81"/>
            <rFont val="Tahoma"/>
            <family val="2"/>
          </rPr>
          <t xml:space="preserve"> x1.25</t>
        </r>
      </text>
    </comment>
    <comment ref="C318" authorId="0" shapeId="0" xr:uid="{35F79575-E721-4F55-A5F8-F1298EBCDB90}">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包括中、英文</t>
        </r>
        <r>
          <rPr>
            <b/>
            <sz val="9"/>
            <color indexed="81"/>
            <rFont val="Tahoma"/>
            <family val="2"/>
          </rPr>
          <t>)</t>
        </r>
        <r>
          <rPr>
            <b/>
            <sz val="9"/>
            <color indexed="81"/>
            <rFont val="細明體"/>
            <family val="3"/>
            <charset val="136"/>
          </rPr>
          <t xml:space="preserve">
中文、英文</t>
        </r>
        <r>
          <rPr>
            <b/>
            <sz val="9"/>
            <color indexed="81"/>
            <rFont val="Tahoma"/>
            <family val="2"/>
          </rPr>
          <t xml:space="preserve"> x1.25</t>
        </r>
      </text>
    </comment>
    <comment ref="C319" authorId="0" shapeId="0" xr:uid="{725040F9-8D2B-4FAB-8F75-148361554EC6}">
      <text>
        <r>
          <rPr>
            <b/>
            <sz val="9"/>
            <color indexed="81"/>
            <rFont val="Tahoma"/>
            <family val="2"/>
          </rPr>
          <t>2020</t>
        </r>
        <r>
          <rPr>
            <b/>
            <sz val="9"/>
            <color indexed="81"/>
            <rFont val="細明體"/>
            <family val="3"/>
            <charset val="136"/>
          </rPr>
          <t xml:space="preserve">年新科目
</t>
        </r>
        <r>
          <rPr>
            <b/>
            <sz val="9"/>
            <color indexed="81"/>
            <rFont val="Tahoma"/>
            <family val="2"/>
          </rPr>
          <t>Best 5 (</t>
        </r>
        <r>
          <rPr>
            <b/>
            <sz val="9"/>
            <color indexed="81"/>
            <rFont val="細明體"/>
            <family val="3"/>
            <charset val="136"/>
          </rPr>
          <t>包括英文</t>
        </r>
        <r>
          <rPr>
            <b/>
            <sz val="9"/>
            <color indexed="81"/>
            <rFont val="Tahoma"/>
            <family val="2"/>
          </rPr>
          <t>)</t>
        </r>
        <r>
          <rPr>
            <b/>
            <sz val="9"/>
            <color indexed="81"/>
            <rFont val="細明體"/>
            <family val="3"/>
            <charset val="136"/>
          </rPr>
          <t xml:space="preserve">
所有科目</t>
        </r>
        <r>
          <rPr>
            <b/>
            <sz val="9"/>
            <color indexed="81"/>
            <rFont val="Tahoma"/>
            <family val="2"/>
          </rPr>
          <t xml:space="preserve"> x1</t>
        </r>
        <r>
          <rPr>
            <sz val="9"/>
            <color indexed="81"/>
            <rFont val="Tahoma"/>
            <family val="2"/>
          </rPr>
          <t xml:space="preserve">
</t>
        </r>
      </text>
    </comment>
    <comment ref="C320" authorId="0" shapeId="0" xr:uid="{C8BFB37C-DD1B-4D9B-A6EA-AB0AE2008E4B}">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 xml:space="preserve">x1.5: </t>
        </r>
        <r>
          <rPr>
            <sz val="9"/>
            <color indexed="81"/>
            <rFont val="細明體"/>
            <family val="3"/>
            <charset val="136"/>
          </rPr>
          <t>中文、英文、生物</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中史、中國文學、化學、組合科學、數學、物理</t>
        </r>
      </text>
    </comment>
    <comment ref="C321" authorId="0" shapeId="0" xr:uid="{B4AEE743-3E36-4FD5-A493-E3942FC8ED95}">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 xml:space="preserve">x1.5: </t>
        </r>
        <r>
          <rPr>
            <sz val="9"/>
            <color indexed="81"/>
            <rFont val="細明體"/>
            <family val="3"/>
            <charset val="136"/>
          </rPr>
          <t>中文、英文、化學</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生物、中國文學、組合科學、數學、物理</t>
        </r>
      </text>
    </comment>
    <comment ref="C322" authorId="0" shapeId="0" xr:uid="{534DCBAB-D6E3-4AF6-A461-5E96A555FC77}">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所有科目</t>
        </r>
        <r>
          <rPr>
            <b/>
            <sz val="9"/>
            <color indexed="81"/>
            <rFont val="Tahoma"/>
            <family val="2"/>
          </rPr>
          <t xml:space="preserve"> x1
</t>
        </r>
      </text>
    </comment>
    <comment ref="C323" authorId="0" shapeId="0" xr:uid="{F9476C0A-D5A3-44CD-81A5-D7E458D4EC86}">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英文</t>
        </r>
        <r>
          <rPr>
            <b/>
            <sz val="9"/>
            <color indexed="81"/>
            <rFont val="Tahoma"/>
            <family val="2"/>
          </rPr>
          <t xml:space="preserve"> x2</t>
        </r>
      </text>
    </comment>
    <comment ref="C324" authorId="0" shapeId="0" xr:uid="{1D8C2BA2-7D72-4486-8B5B-DD2A12529FD8}">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C325" authorId="0" shapeId="0" xr:uid="{6EF2A3B2-EBDA-4C79-A360-51DBF93D0299}">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英文</t>
        </r>
        <r>
          <rPr>
            <b/>
            <sz val="9"/>
            <color indexed="81"/>
            <rFont val="Tahoma"/>
            <family val="2"/>
          </rPr>
          <t xml:space="preserve"> x1.2</t>
        </r>
      </text>
    </comment>
    <comment ref="C326" authorId="0" shapeId="0" xr:uid="{6E4E6B3F-1339-484F-BD4A-A06C739EEAA2}">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英文</t>
        </r>
        <r>
          <rPr>
            <b/>
            <sz val="9"/>
            <color indexed="81"/>
            <rFont val="Tahoma"/>
            <family val="2"/>
          </rPr>
          <t xml:space="preserve"> x1.2</t>
        </r>
      </text>
    </comment>
    <comment ref="C327" authorId="0" shapeId="0" xr:uid="{426F9E92-9941-47BA-9130-B0322DA0B03A}">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英文</t>
        </r>
        <r>
          <rPr>
            <b/>
            <sz val="9"/>
            <color indexed="81"/>
            <rFont val="Tahoma"/>
            <family val="2"/>
          </rPr>
          <t xml:space="preserve"> x2</t>
        </r>
        <r>
          <rPr>
            <b/>
            <sz val="9"/>
            <color indexed="81"/>
            <rFont val="細明體"/>
            <family val="3"/>
            <charset val="136"/>
          </rPr>
          <t>、通識</t>
        </r>
        <r>
          <rPr>
            <b/>
            <sz val="9"/>
            <color indexed="81"/>
            <rFont val="Tahoma"/>
            <family val="2"/>
          </rPr>
          <t xml:space="preserve"> x1.5</t>
        </r>
      </text>
    </comment>
    <comment ref="C328" authorId="0" shapeId="0" xr:uid="{F4304CCD-23B9-4300-98E0-A5EC1AC93C9A}">
      <text>
        <r>
          <rPr>
            <b/>
            <sz val="9"/>
            <color indexed="81"/>
            <rFont val="Tahoma"/>
            <family val="2"/>
          </rPr>
          <t>2020</t>
        </r>
        <r>
          <rPr>
            <b/>
            <sz val="9"/>
            <color indexed="81"/>
            <rFont val="細明體"/>
            <family val="3"/>
            <charset val="136"/>
          </rPr>
          <t>年新科目
中文、英文</t>
        </r>
        <r>
          <rPr>
            <b/>
            <sz val="9"/>
            <color indexed="81"/>
            <rFont val="Tahoma"/>
            <family val="2"/>
          </rPr>
          <t xml:space="preserve"> x1.5</t>
        </r>
      </text>
    </comment>
    <comment ref="C329" authorId="0" shapeId="0" xr:uid="{FBA4F495-94ED-45E3-AA87-F99FF67F9808}">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C330" authorId="0" shapeId="0" xr:uid="{FC324F36-0370-43A0-A9DD-C6035DF934B3}">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 xml:space="preserve">收生
</t>
        </r>
        <r>
          <rPr>
            <b/>
            <sz val="9"/>
            <color indexed="81"/>
            <rFont val="Tahoma"/>
            <family val="2"/>
          </rPr>
          <t xml:space="preserve">x1.2: </t>
        </r>
        <r>
          <rPr>
            <sz val="9"/>
            <color indexed="81"/>
            <rFont val="細明體"/>
            <family val="3"/>
            <charset val="136"/>
          </rPr>
          <t>中國歷史、經濟、倫理及宗教科、地理、歷史、旅遊及款待</t>
        </r>
      </text>
    </comment>
    <comment ref="C331" authorId="0" shapeId="0" xr:uid="{DA1B679C-278B-422A-B216-FA08BE56BC28}">
      <text>
        <r>
          <rPr>
            <b/>
            <sz val="9"/>
            <color indexed="81"/>
            <rFont val="Tahoma"/>
            <family val="2"/>
          </rPr>
          <t>Best 5 (</t>
        </r>
        <r>
          <rPr>
            <b/>
            <sz val="9"/>
            <color indexed="81"/>
            <rFont val="細明體"/>
            <family val="3"/>
            <charset val="136"/>
          </rPr>
          <t>包括英文</t>
        </r>
        <r>
          <rPr>
            <b/>
            <sz val="9"/>
            <color indexed="81"/>
            <rFont val="Tahoma"/>
            <family val="2"/>
          </rPr>
          <t>)</t>
        </r>
        <r>
          <rPr>
            <b/>
            <sz val="9"/>
            <color indexed="81"/>
            <rFont val="細明體"/>
            <family val="3"/>
            <charset val="136"/>
          </rPr>
          <t xml:space="preserve">
所有科目</t>
        </r>
        <r>
          <rPr>
            <b/>
            <sz val="9"/>
            <color indexed="81"/>
            <rFont val="Tahoma"/>
            <family val="2"/>
          </rPr>
          <t xml:space="preserve"> x1</t>
        </r>
        <r>
          <rPr>
            <sz val="9"/>
            <color indexed="81"/>
            <rFont val="Tahoma"/>
            <family val="2"/>
          </rPr>
          <t xml:space="preserve">
</t>
        </r>
      </text>
    </comment>
    <comment ref="C332" authorId="0" shapeId="0" xr:uid="{D8670D44-4D4E-419E-97E3-1A10E8FF5FA6}">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所有科目</t>
        </r>
        <r>
          <rPr>
            <b/>
            <sz val="9"/>
            <color indexed="81"/>
            <rFont val="Tahoma"/>
            <family val="2"/>
          </rPr>
          <t xml:space="preserve"> x1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author>
    <author>Michael Chan</author>
  </authors>
  <commentList>
    <comment ref="L1" authorId="0" shapeId="0" xr:uid="{53DC381F-F2CC-40E9-8346-955EC907A5B4}">
      <text>
        <r>
          <rPr>
            <b/>
            <sz val="9"/>
            <color indexed="81"/>
            <rFont val="Tahoma"/>
            <family val="2"/>
          </rPr>
          <t>2019</t>
        </r>
        <r>
          <rPr>
            <b/>
            <sz val="9"/>
            <color indexed="81"/>
            <rFont val="細明體"/>
            <family val="3"/>
            <charset val="136"/>
          </rPr>
          <t>年</t>
        </r>
        <r>
          <rPr>
            <b/>
            <sz val="9"/>
            <color indexed="81"/>
            <rFont val="Tahoma"/>
            <family val="2"/>
          </rPr>
          <t xml:space="preserve"> Band A
</t>
        </r>
        <r>
          <rPr>
            <b/>
            <sz val="9"/>
            <color indexed="81"/>
            <rFont val="細明體"/>
            <family val="3"/>
            <charset val="136"/>
          </rPr>
          <t>收生人數</t>
        </r>
        <r>
          <rPr>
            <sz val="9"/>
            <color indexed="81"/>
            <rFont val="Tahoma"/>
            <family val="2"/>
          </rPr>
          <t xml:space="preserve">
</t>
        </r>
      </text>
    </comment>
    <comment ref="E6" authorId="1" shapeId="0" xr:uid="{930311ED-BC0C-49FA-B1D2-31082C72DFF4}">
      <text>
        <r>
          <rPr>
            <b/>
            <sz val="9"/>
            <color indexed="81"/>
            <rFont val="細明體"/>
            <family val="3"/>
            <charset val="136"/>
          </rPr>
          <t>英文</t>
        </r>
        <r>
          <rPr>
            <b/>
            <sz val="9"/>
            <color indexed="81"/>
            <rFont val="Tahoma"/>
            <family val="2"/>
          </rPr>
          <t xml:space="preserve">x1.5
</t>
        </r>
      </text>
    </comment>
    <comment ref="E16" authorId="1" shapeId="0" xr:uid="{7176F2F2-2373-4977-9D98-42B10879A1DD}">
      <text>
        <r>
          <rPr>
            <sz val="9"/>
            <color indexed="81"/>
            <rFont val="細明體"/>
            <family val="3"/>
            <charset val="136"/>
          </rPr>
          <t>英文</t>
        </r>
        <r>
          <rPr>
            <sz val="9"/>
            <color indexed="81"/>
            <rFont val="Tahoma"/>
            <family val="2"/>
          </rPr>
          <t xml:space="preserve">x2
</t>
        </r>
      </text>
    </comment>
    <comment ref="E17" authorId="1" shapeId="0" xr:uid="{80A89202-BB65-407B-B7E7-E228284B7479}">
      <text>
        <r>
          <rPr>
            <sz val="9"/>
            <color indexed="81"/>
            <rFont val="細明體"/>
            <family val="3"/>
            <charset val="136"/>
          </rPr>
          <t>英文</t>
        </r>
        <r>
          <rPr>
            <sz val="9"/>
            <color indexed="81"/>
            <rFont val="Tahoma"/>
            <family val="2"/>
          </rPr>
          <t xml:space="preserve">x2
</t>
        </r>
      </text>
    </comment>
    <comment ref="E18" authorId="1" shapeId="0" xr:uid="{366BC9C2-9186-4816-8CDE-F01426CAC692}">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 xml:space="preserve">x1.5
</t>
        </r>
      </text>
    </comment>
    <comment ref="E19" authorId="1" shapeId="0" xr:uid="{AF10F042-4073-4991-88CA-8B3B63A5268D}">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20" authorId="1" shapeId="0" xr:uid="{63022F11-22FB-471B-91B6-1868D20974DF}">
      <text>
        <r>
          <rPr>
            <b/>
            <sz val="9"/>
            <color indexed="81"/>
            <rFont val="細明體"/>
            <family val="3"/>
            <charset val="136"/>
          </rPr>
          <t>英文</t>
        </r>
        <r>
          <rPr>
            <b/>
            <sz val="9"/>
            <color indexed="81"/>
            <rFont val="Tahoma"/>
            <family val="2"/>
          </rPr>
          <t xml:space="preserve">x2, </t>
        </r>
        <r>
          <rPr>
            <b/>
            <sz val="9"/>
            <color indexed="81"/>
            <rFont val="細明體"/>
            <family val="3"/>
            <charset val="136"/>
          </rPr>
          <t>數學</t>
        </r>
        <r>
          <rPr>
            <b/>
            <sz val="9"/>
            <color indexed="81"/>
            <rFont val="Tahoma"/>
            <family val="2"/>
          </rPr>
          <t xml:space="preserve">x2.5, </t>
        </r>
        <r>
          <rPr>
            <b/>
            <sz val="9"/>
            <color indexed="81"/>
            <rFont val="細明體"/>
            <family val="3"/>
            <charset val="136"/>
          </rPr>
          <t>化學</t>
        </r>
        <r>
          <rPr>
            <b/>
            <sz val="9"/>
            <color indexed="81"/>
            <rFont val="Tahoma"/>
            <family val="2"/>
          </rPr>
          <t>/</t>
        </r>
        <r>
          <rPr>
            <b/>
            <sz val="9"/>
            <color indexed="81"/>
            <rFont val="細明體"/>
            <family val="3"/>
            <charset val="136"/>
          </rPr>
          <t>物理</t>
        </r>
        <r>
          <rPr>
            <b/>
            <sz val="9"/>
            <color indexed="81"/>
            <rFont val="Tahoma"/>
            <family val="2"/>
          </rPr>
          <t>/</t>
        </r>
        <r>
          <rPr>
            <b/>
            <sz val="9"/>
            <color indexed="81"/>
            <rFont val="細明體"/>
            <family val="3"/>
            <charset val="136"/>
          </rPr>
          <t>組合科學</t>
        </r>
        <r>
          <rPr>
            <b/>
            <sz val="9"/>
            <color indexed="81"/>
            <rFont val="Tahoma"/>
            <family val="2"/>
          </rPr>
          <t>(</t>
        </r>
        <r>
          <rPr>
            <b/>
            <sz val="9"/>
            <color indexed="81"/>
            <rFont val="細明體"/>
            <family val="3"/>
            <charset val="136"/>
          </rPr>
          <t>物理、化學</t>
        </r>
        <r>
          <rPr>
            <b/>
            <sz val="9"/>
            <color indexed="81"/>
            <rFont val="Tahoma"/>
            <family val="2"/>
          </rPr>
          <t>)x2.5</t>
        </r>
      </text>
    </comment>
    <comment ref="S20" authorId="0" shapeId="0" xr:uid="{18A06638-8729-4564-BFA9-2E0197304169}">
      <text>
        <r>
          <rPr>
            <b/>
            <sz val="9"/>
            <color indexed="81"/>
            <rFont val="Tahoma"/>
            <family val="2"/>
          </rPr>
          <t>Level 3</t>
        </r>
        <r>
          <rPr>
            <sz val="9"/>
            <color indexed="81"/>
            <rFont val="Tahoma"/>
            <family val="2"/>
          </rPr>
          <t xml:space="preserve"> in one elective subject from:
- Chemistry
- Combined Science
(Chemistry and Physics)
- Physics</t>
        </r>
      </text>
    </comment>
    <comment ref="E22" authorId="1" shapeId="0" xr:uid="{9691F616-28DE-419C-ABE5-7E4E6062E135}">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E23" authorId="1" shapeId="0" xr:uid="{D0EB6A96-3F49-485A-B1C2-DA55326053F9}">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E24" authorId="1" shapeId="0" xr:uid="{7EDE7D3A-9300-491F-8EB9-16A5828B87E1}">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E25" authorId="1" shapeId="0" xr:uid="{6B63EBF8-90B5-425A-AA3F-FAB198BD61BF}">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26" authorId="1" shapeId="0" xr:uid="{FCF3F895-AF20-48E2-AB04-DA5D7BC1422C}">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27" authorId="1" shapeId="0" xr:uid="{38E19760-F9BA-41C6-83AB-2095EA4323A2}">
      <text>
        <r>
          <rPr>
            <b/>
            <sz val="9"/>
            <color indexed="81"/>
            <rFont val="Tahoma"/>
            <family val="2"/>
          </rPr>
          <t>(2020</t>
        </r>
        <r>
          <rPr>
            <b/>
            <sz val="9"/>
            <color indexed="81"/>
            <rFont val="細明體"/>
            <family val="3"/>
            <charset val="136"/>
          </rPr>
          <t>年改為所有科目</t>
        </r>
        <r>
          <rPr>
            <b/>
            <sz val="9"/>
            <color indexed="81"/>
            <rFont val="Tahoma"/>
            <family val="2"/>
          </rPr>
          <t xml:space="preserve">x1)
</t>
        </r>
        <r>
          <rPr>
            <b/>
            <sz val="9"/>
            <color indexed="81"/>
            <rFont val="細明體"/>
            <family val="3"/>
            <charset val="136"/>
          </rPr>
          <t>英文</t>
        </r>
        <r>
          <rPr>
            <b/>
            <sz val="9"/>
            <color indexed="81"/>
            <rFont val="Tahoma"/>
            <family val="2"/>
          </rPr>
          <t>x2</t>
        </r>
        <r>
          <rPr>
            <b/>
            <sz val="9"/>
            <color indexed="81"/>
            <rFont val="細明體"/>
            <family val="3"/>
            <charset val="136"/>
          </rPr>
          <t>，通識</t>
        </r>
        <r>
          <rPr>
            <b/>
            <sz val="9"/>
            <color indexed="81"/>
            <rFont val="Tahoma"/>
            <family val="2"/>
          </rPr>
          <t>x1.5</t>
        </r>
      </text>
    </comment>
    <comment ref="E28" authorId="1" shapeId="0" xr:uid="{D497C43C-94EC-4E91-9F42-DB96AD791AC0}">
      <text>
        <r>
          <rPr>
            <b/>
            <sz val="9"/>
            <color indexed="81"/>
            <rFont val="Tahoma"/>
            <family val="2"/>
          </rPr>
          <t xml:space="preserve">x2: </t>
        </r>
        <r>
          <rPr>
            <b/>
            <sz val="9"/>
            <color indexed="81"/>
            <rFont val="細明體"/>
            <family val="3"/>
            <charset val="136"/>
          </rPr>
          <t xml:space="preserve">中文，英文
</t>
        </r>
        <r>
          <rPr>
            <b/>
            <sz val="9"/>
            <color indexed="81"/>
            <rFont val="Tahoma"/>
            <family val="2"/>
          </rPr>
          <t xml:space="preserve">x1.5: </t>
        </r>
        <r>
          <rPr>
            <b/>
            <sz val="9"/>
            <color indexed="81"/>
            <rFont val="細明體"/>
            <family val="3"/>
            <charset val="136"/>
          </rPr>
          <t>通識</t>
        </r>
        <r>
          <rPr>
            <b/>
            <sz val="9"/>
            <color indexed="81"/>
            <rFont val="Tahoma"/>
            <family val="2"/>
          </rPr>
          <t>/</t>
        </r>
        <r>
          <rPr>
            <b/>
            <sz val="9"/>
            <color indexed="81"/>
            <rFont val="細明體"/>
            <family val="3"/>
            <charset val="136"/>
          </rPr>
          <t>中國歷史</t>
        </r>
        <r>
          <rPr>
            <b/>
            <sz val="9"/>
            <color indexed="81"/>
            <rFont val="Tahoma"/>
            <family val="2"/>
          </rPr>
          <t>/</t>
        </r>
        <r>
          <rPr>
            <b/>
            <sz val="9"/>
            <color indexed="81"/>
            <rFont val="細明體"/>
            <family val="3"/>
            <charset val="136"/>
          </rPr>
          <t>中國文學</t>
        </r>
        <r>
          <rPr>
            <b/>
            <sz val="9"/>
            <color indexed="81"/>
            <rFont val="Tahoma"/>
            <family val="2"/>
          </rPr>
          <t>/</t>
        </r>
        <r>
          <rPr>
            <b/>
            <sz val="9"/>
            <color indexed="81"/>
            <rFont val="細明體"/>
            <family val="3"/>
            <charset val="136"/>
          </rPr>
          <t>歷史</t>
        </r>
        <r>
          <rPr>
            <b/>
            <sz val="9"/>
            <color indexed="81"/>
            <rFont val="Tahoma"/>
            <family val="2"/>
          </rPr>
          <t>/</t>
        </r>
        <r>
          <rPr>
            <b/>
            <sz val="9"/>
            <color indexed="81"/>
            <rFont val="細明體"/>
            <family val="3"/>
            <charset val="136"/>
          </rPr>
          <t>視覺藝術</t>
        </r>
      </text>
    </comment>
    <comment ref="E29" authorId="1" shapeId="0" xr:uid="{EE3BB263-7A73-4FAF-BB07-119B769B068A}">
      <text>
        <r>
          <rPr>
            <b/>
            <sz val="9"/>
            <color indexed="81"/>
            <rFont val="細明體"/>
            <family val="3"/>
            <charset val="136"/>
          </rPr>
          <t>英文</t>
        </r>
        <r>
          <rPr>
            <b/>
            <sz val="9"/>
            <color indexed="81"/>
            <rFont val="Tahoma"/>
            <family val="2"/>
          </rPr>
          <t>x2.5</t>
        </r>
        <r>
          <rPr>
            <b/>
            <sz val="9"/>
            <color indexed="81"/>
            <rFont val="細明體"/>
            <family val="3"/>
            <charset val="136"/>
          </rPr>
          <t>，通識</t>
        </r>
        <r>
          <rPr>
            <b/>
            <sz val="9"/>
            <color indexed="81"/>
            <rFont val="Tahoma"/>
            <family val="2"/>
          </rPr>
          <t>x1.5</t>
        </r>
        <r>
          <rPr>
            <b/>
            <sz val="9"/>
            <color indexed="81"/>
            <rFont val="細明體"/>
            <family val="3"/>
            <charset val="136"/>
          </rPr>
          <t>，英國文學</t>
        </r>
        <r>
          <rPr>
            <b/>
            <sz val="9"/>
            <color indexed="81"/>
            <rFont val="Tahoma"/>
            <family val="2"/>
          </rPr>
          <t xml:space="preserve">x1.5
</t>
        </r>
        <r>
          <rPr>
            <sz val="9"/>
            <color indexed="81"/>
            <rFont val="Tahoma"/>
            <family val="2"/>
          </rPr>
          <t xml:space="preserve">
</t>
        </r>
      </text>
    </comment>
    <comment ref="E30" authorId="1" shapeId="0" xr:uid="{55411CAA-B7EC-4805-B9EF-BEBBE479060E}">
      <text>
        <r>
          <rPr>
            <b/>
            <sz val="9"/>
            <color indexed="81"/>
            <rFont val="細明體"/>
            <family val="3"/>
            <charset val="136"/>
          </rPr>
          <t>中文</t>
        </r>
        <r>
          <rPr>
            <b/>
            <sz val="9"/>
            <color indexed="81"/>
            <rFont val="Tahoma"/>
            <family val="2"/>
          </rPr>
          <t>x1.5</t>
        </r>
        <r>
          <rPr>
            <b/>
            <sz val="9"/>
            <color indexed="81"/>
            <rFont val="細明體"/>
            <family val="3"/>
            <charset val="136"/>
          </rPr>
          <t>，英文</t>
        </r>
        <r>
          <rPr>
            <b/>
            <sz val="9"/>
            <color indexed="81"/>
            <rFont val="Tahoma"/>
            <family val="2"/>
          </rPr>
          <t>x2</t>
        </r>
        <r>
          <rPr>
            <sz val="9"/>
            <color indexed="81"/>
            <rFont val="Tahoma"/>
            <family val="2"/>
          </rPr>
          <t xml:space="preserve">
</t>
        </r>
      </text>
    </comment>
    <comment ref="E31" authorId="1" shapeId="0" xr:uid="{986FD19C-0626-4CBB-9042-465FFD897566}">
      <text>
        <r>
          <rPr>
            <b/>
            <sz val="9"/>
            <color indexed="81"/>
            <rFont val="細明體"/>
            <family val="3"/>
            <charset val="136"/>
          </rPr>
          <t>中文</t>
        </r>
        <r>
          <rPr>
            <b/>
            <sz val="9"/>
            <color indexed="81"/>
            <rFont val="Tahoma"/>
            <family val="2"/>
          </rPr>
          <t>x1.25</t>
        </r>
        <r>
          <rPr>
            <b/>
            <sz val="9"/>
            <color indexed="81"/>
            <rFont val="細明體"/>
            <family val="3"/>
            <charset val="136"/>
          </rPr>
          <t>，英文</t>
        </r>
        <r>
          <rPr>
            <b/>
            <sz val="9"/>
            <color indexed="81"/>
            <rFont val="Tahoma"/>
            <family val="2"/>
          </rPr>
          <t>x1.25</t>
        </r>
        <r>
          <rPr>
            <sz val="9"/>
            <color indexed="81"/>
            <rFont val="Tahoma"/>
            <family val="2"/>
          </rPr>
          <t xml:space="preserve">
</t>
        </r>
      </text>
    </comment>
    <comment ref="E32" authorId="1" shapeId="0" xr:uid="{44E47A87-911F-4A31-86BB-F252A457EF14}">
      <text>
        <r>
          <rPr>
            <b/>
            <sz val="9"/>
            <color indexed="81"/>
            <rFont val="細明體"/>
            <family val="3"/>
            <charset val="136"/>
          </rPr>
          <t>英文</t>
        </r>
        <r>
          <rPr>
            <b/>
            <sz val="9"/>
            <color indexed="81"/>
            <rFont val="Tahoma"/>
            <family val="2"/>
          </rPr>
          <t>x2</t>
        </r>
        <r>
          <rPr>
            <b/>
            <sz val="9"/>
            <color indexed="81"/>
            <rFont val="細明體"/>
            <family val="3"/>
            <charset val="136"/>
          </rPr>
          <t>，通識</t>
        </r>
        <r>
          <rPr>
            <b/>
            <sz val="9"/>
            <color indexed="81"/>
            <rFont val="Tahoma"/>
            <family val="2"/>
          </rPr>
          <t>x1.5</t>
        </r>
        <r>
          <rPr>
            <sz val="9"/>
            <color indexed="81"/>
            <rFont val="Tahoma"/>
            <family val="2"/>
          </rPr>
          <t xml:space="preserve">
</t>
        </r>
      </text>
    </comment>
    <comment ref="E33" authorId="1" shapeId="0" xr:uid="{40E11F12-E5E7-4934-B79F-13E3050B6F6F}">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34" authorId="1" shapeId="0" xr:uid="{DC14647E-34F6-4019-B19D-CC6D04CE949A}">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35" authorId="1" shapeId="0" xr:uid="{02833F74-23E0-4136-A99E-AC5311FBE7B1}">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36" authorId="1" shapeId="0" xr:uid="{B6D23489-DA0C-4A3F-9499-257286488576}">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37" authorId="1" shapeId="0" xr:uid="{49AE8C42-4E8F-4213-87A1-8939D7A36DF8}">
      <text>
        <r>
          <rPr>
            <b/>
            <sz val="9"/>
            <color indexed="81"/>
            <rFont val="Tahoma"/>
            <family val="2"/>
          </rPr>
          <t xml:space="preserve">x2: </t>
        </r>
        <r>
          <rPr>
            <b/>
            <sz val="9"/>
            <color indexed="81"/>
            <rFont val="細明體"/>
            <family val="3"/>
            <charset val="136"/>
          </rPr>
          <t>英文，化學</t>
        </r>
        <r>
          <rPr>
            <b/>
            <sz val="9"/>
            <color indexed="81"/>
            <rFont val="Tahoma"/>
            <family val="2"/>
          </rPr>
          <t xml:space="preserve">x2
x1.5: </t>
        </r>
        <r>
          <rPr>
            <b/>
            <sz val="9"/>
            <color indexed="81"/>
            <rFont val="細明體"/>
            <family val="3"/>
            <charset val="136"/>
          </rPr>
          <t>數學，組合科學</t>
        </r>
        <r>
          <rPr>
            <b/>
            <sz val="9"/>
            <color indexed="81"/>
            <rFont val="Tahoma"/>
            <family val="2"/>
          </rPr>
          <t>(</t>
        </r>
        <r>
          <rPr>
            <b/>
            <sz val="9"/>
            <color indexed="81"/>
            <rFont val="細明體"/>
            <family val="3"/>
            <charset val="136"/>
          </rPr>
          <t>化學</t>
        </r>
        <r>
          <rPr>
            <b/>
            <sz val="9"/>
            <color indexed="81"/>
            <rFont val="Tahoma"/>
            <family val="2"/>
          </rPr>
          <t>)</t>
        </r>
      </text>
    </comment>
    <comment ref="Q37" authorId="0" shapeId="0" xr:uid="{7BAD89C1-83DC-4EAF-8148-05C0B3F75F8C}">
      <text>
        <r>
          <rPr>
            <b/>
            <sz val="9"/>
            <color indexed="81"/>
            <rFont val="Tahoma"/>
            <family val="2"/>
          </rPr>
          <t>Level 3</t>
        </r>
        <r>
          <rPr>
            <sz val="9"/>
            <color indexed="81"/>
            <rFont val="Tahoma"/>
            <family val="2"/>
          </rPr>
          <t xml:space="preserve"> in Mathematics if no other science subject is taken
</t>
        </r>
      </text>
    </comment>
    <comment ref="S37" authorId="0" shapeId="0" xr:uid="{4F2C293F-487B-42DF-A966-6A2056EB6C4E}">
      <text>
        <r>
          <rPr>
            <b/>
            <sz val="9"/>
            <color indexed="81"/>
            <rFont val="Tahoma"/>
            <family val="2"/>
          </rPr>
          <t>Level 3</t>
        </r>
        <r>
          <rPr>
            <sz val="9"/>
            <color indexed="81"/>
            <rFont val="Tahoma"/>
            <family val="2"/>
          </rPr>
          <t xml:space="preserve"> in one elective subject from:
- Chemistry
- Combined Science
(Biology and Chemistry)
- Combined Science
(Chemistry and Physics)</t>
        </r>
      </text>
    </comment>
    <comment ref="T37" authorId="0" shapeId="0" xr:uid="{6D75FE50-15B7-4A2F-8B72-0B4362278A8B}">
      <text>
        <r>
          <rPr>
            <b/>
            <sz val="9"/>
            <color indexed="81"/>
            <rFont val="Tahoma"/>
            <family val="2"/>
          </rPr>
          <t xml:space="preserve">Level 3 </t>
        </r>
        <r>
          <rPr>
            <sz val="9"/>
            <color indexed="81"/>
            <rFont val="Tahoma"/>
            <family val="2"/>
          </rPr>
          <t>in one elective subject from:
- Biology
- BAFS
- Chemistry
- Combined Science
- Integrated Science
- DAT
- ICT
- Physics</t>
        </r>
      </text>
    </comment>
    <comment ref="E38" authorId="1" shapeId="0" xr:uid="{C0B10EA9-2329-477B-B4EF-4D7A3FB5D506}">
      <text>
        <r>
          <rPr>
            <b/>
            <sz val="9"/>
            <color indexed="81"/>
            <rFont val="細明體"/>
            <family val="3"/>
            <charset val="136"/>
          </rPr>
          <t>英文</t>
        </r>
        <r>
          <rPr>
            <b/>
            <sz val="9"/>
            <color indexed="81"/>
            <rFont val="Tahoma"/>
            <family val="2"/>
          </rPr>
          <t>x2</t>
        </r>
        <r>
          <rPr>
            <sz val="9"/>
            <color indexed="81"/>
            <rFont val="Tahoma"/>
            <family val="2"/>
          </rPr>
          <t xml:space="preserve">
</t>
        </r>
      </text>
    </comment>
    <comment ref="S38" authorId="0" shapeId="0" xr:uid="{B0C7E5E4-B081-441A-A8A4-A8A4A4C09387}">
      <text>
        <r>
          <rPr>
            <b/>
            <sz val="9"/>
            <color indexed="81"/>
            <rFont val="Tahoma"/>
            <family val="2"/>
          </rPr>
          <t>Level 3</t>
        </r>
        <r>
          <rPr>
            <sz val="9"/>
            <color indexed="81"/>
            <rFont val="Tahoma"/>
            <family val="2"/>
          </rPr>
          <t xml:space="preserve"> in one elective subject from:
- Biology
- Chemistry
- Combined Science
- ICT
- M1/M2
- Physics</t>
        </r>
      </text>
    </comment>
    <comment ref="E39" authorId="1" shapeId="0" xr:uid="{3C4240BF-6723-429B-B364-10A60479A728}">
      <text>
        <r>
          <rPr>
            <b/>
            <sz val="9"/>
            <color indexed="81"/>
            <rFont val="Tahoma"/>
            <family val="2"/>
          </rPr>
          <t xml:space="preserve">x2: </t>
        </r>
        <r>
          <rPr>
            <b/>
            <sz val="9"/>
            <color indexed="81"/>
            <rFont val="細明體"/>
            <family val="3"/>
            <charset val="136"/>
          </rPr>
          <t>英文，數學，組合科學</t>
        </r>
        <r>
          <rPr>
            <b/>
            <sz val="9"/>
            <color indexed="81"/>
            <rFont val="Tahoma"/>
            <family val="2"/>
          </rPr>
          <t>(</t>
        </r>
        <r>
          <rPr>
            <b/>
            <sz val="9"/>
            <color indexed="81"/>
            <rFont val="細明體"/>
            <family val="3"/>
            <charset val="136"/>
          </rPr>
          <t>物理、化學</t>
        </r>
        <r>
          <rPr>
            <b/>
            <sz val="9"/>
            <color indexed="81"/>
            <rFont val="Tahoma"/>
            <family val="2"/>
          </rPr>
          <t>)</t>
        </r>
        <r>
          <rPr>
            <b/>
            <sz val="9"/>
            <color indexed="81"/>
            <rFont val="細明體"/>
            <family val="3"/>
            <charset val="136"/>
          </rPr>
          <t>，組合科學</t>
        </r>
        <r>
          <rPr>
            <b/>
            <sz val="9"/>
            <color indexed="81"/>
            <rFont val="Tahoma"/>
            <family val="2"/>
          </rPr>
          <t>(</t>
        </r>
        <r>
          <rPr>
            <b/>
            <sz val="9"/>
            <color indexed="81"/>
            <rFont val="細明體"/>
            <family val="3"/>
            <charset val="136"/>
          </rPr>
          <t>物理、生物</t>
        </r>
        <r>
          <rPr>
            <b/>
            <sz val="9"/>
            <color indexed="81"/>
            <rFont val="Tahoma"/>
            <family val="2"/>
          </rPr>
          <t>)</t>
        </r>
        <r>
          <rPr>
            <b/>
            <sz val="9"/>
            <color indexed="81"/>
            <rFont val="細明體"/>
            <family val="3"/>
            <charset val="136"/>
          </rPr>
          <t>，物理，</t>
        </r>
        <r>
          <rPr>
            <b/>
            <sz val="9"/>
            <color indexed="81"/>
            <rFont val="Tahoma"/>
            <family val="2"/>
          </rPr>
          <t>ICT</t>
        </r>
        <r>
          <rPr>
            <b/>
            <sz val="9"/>
            <color indexed="81"/>
            <rFont val="細明體"/>
            <family val="3"/>
            <charset val="136"/>
          </rPr>
          <t>，</t>
        </r>
        <r>
          <rPr>
            <b/>
            <sz val="9"/>
            <color indexed="81"/>
            <rFont val="Tahoma"/>
            <family val="2"/>
          </rPr>
          <t xml:space="preserve">M1/2
x1.5: </t>
        </r>
        <r>
          <rPr>
            <b/>
            <sz val="9"/>
            <color indexed="81"/>
            <rFont val="細明體"/>
            <family val="3"/>
            <charset val="136"/>
          </rPr>
          <t>組合科學</t>
        </r>
        <r>
          <rPr>
            <b/>
            <sz val="9"/>
            <color indexed="81"/>
            <rFont val="Tahoma"/>
            <family val="2"/>
          </rPr>
          <t>(</t>
        </r>
        <r>
          <rPr>
            <b/>
            <sz val="9"/>
            <color indexed="81"/>
            <rFont val="細明體"/>
            <family val="3"/>
            <charset val="136"/>
          </rPr>
          <t>生物、化學</t>
        </r>
        <r>
          <rPr>
            <b/>
            <sz val="9"/>
            <color indexed="81"/>
            <rFont val="Tahoma"/>
            <family val="2"/>
          </rPr>
          <t>)</t>
        </r>
        <r>
          <rPr>
            <b/>
            <sz val="9"/>
            <color indexed="81"/>
            <rFont val="細明體"/>
            <family val="3"/>
            <charset val="136"/>
          </rPr>
          <t>，生物，化學，綜合科學</t>
        </r>
        <r>
          <rPr>
            <sz val="9"/>
            <color indexed="81"/>
            <rFont val="Tahoma"/>
            <family val="2"/>
          </rPr>
          <t xml:space="preserve">
</t>
        </r>
      </text>
    </comment>
    <comment ref="S39" authorId="0" shapeId="0" xr:uid="{1082C9FD-3110-4A9B-ACA3-359D42147D99}">
      <text>
        <r>
          <rPr>
            <b/>
            <sz val="9"/>
            <color indexed="81"/>
            <rFont val="Tahoma"/>
            <family val="2"/>
          </rPr>
          <t>Level 3</t>
        </r>
        <r>
          <rPr>
            <sz val="9"/>
            <color indexed="81"/>
            <rFont val="Tahoma"/>
            <family val="2"/>
          </rPr>
          <t xml:space="preserve"> in one elective subject from:
- Biology
- Chemistry
- Combined Science
- Integrated Science
- ICT
- M1/M2
- Physics</t>
        </r>
      </text>
    </comment>
    <comment ref="E40" authorId="1" shapeId="0" xr:uid="{32CCCD86-5B60-44EE-B704-24E57757752D}">
      <text>
        <r>
          <rPr>
            <b/>
            <sz val="9"/>
            <color indexed="81"/>
            <rFont val="Tahoma"/>
            <family val="2"/>
          </rPr>
          <t xml:space="preserve">x2.5: </t>
        </r>
        <r>
          <rPr>
            <b/>
            <sz val="9"/>
            <color indexed="81"/>
            <rFont val="細明體"/>
            <family val="3"/>
            <charset val="136"/>
          </rPr>
          <t>數學</t>
        </r>
        <r>
          <rPr>
            <b/>
            <sz val="9"/>
            <color indexed="81"/>
            <rFont val="Tahoma"/>
            <family val="2"/>
          </rPr>
          <t xml:space="preserve">
x2: </t>
        </r>
        <r>
          <rPr>
            <b/>
            <sz val="9"/>
            <color indexed="81"/>
            <rFont val="細明體"/>
            <family val="3"/>
            <charset val="136"/>
          </rPr>
          <t>英文、</t>
        </r>
        <r>
          <rPr>
            <b/>
            <sz val="9"/>
            <color indexed="81"/>
            <rFont val="Tahoma"/>
            <family val="2"/>
          </rPr>
          <t xml:space="preserve">M1/2
x1.5: </t>
        </r>
        <r>
          <rPr>
            <b/>
            <sz val="9"/>
            <color indexed="81"/>
            <rFont val="細明體"/>
            <family val="3"/>
            <charset val="136"/>
          </rPr>
          <t>組合科學，生物，化學，物理</t>
        </r>
        <r>
          <rPr>
            <sz val="9"/>
            <color indexed="81"/>
            <rFont val="Tahoma"/>
            <family val="2"/>
          </rPr>
          <t xml:space="preserve">
</t>
        </r>
      </text>
    </comment>
    <comment ref="S40" authorId="0" shapeId="0" xr:uid="{EA919E91-29A5-46E1-B463-C8E4AB1B3EEE}">
      <text>
        <r>
          <rPr>
            <b/>
            <sz val="9"/>
            <color indexed="81"/>
            <rFont val="Tahoma"/>
            <family val="2"/>
          </rPr>
          <t xml:space="preserve">Level 3 </t>
        </r>
        <r>
          <rPr>
            <sz val="9"/>
            <color indexed="81"/>
            <rFont val="Tahoma"/>
            <family val="2"/>
          </rPr>
          <t>in one elective subject from:
Biology
BAFS
Chemistry
DAT
M1/M2
Physics
Science (Combined or Integrated)</t>
        </r>
      </text>
    </comment>
    <comment ref="E41" authorId="1" shapeId="0" xr:uid="{346B8DFF-8719-43B4-9D42-F9393C3307EF}">
      <text>
        <r>
          <rPr>
            <b/>
            <sz val="9"/>
            <color indexed="81"/>
            <rFont val="Tahoma"/>
            <family val="2"/>
          </rPr>
          <t xml:space="preserve">x2: </t>
        </r>
        <r>
          <rPr>
            <b/>
            <sz val="9"/>
            <color indexed="81"/>
            <rFont val="細明體"/>
            <family val="3"/>
            <charset val="136"/>
          </rPr>
          <t>英文，數學，物理</t>
        </r>
        <r>
          <rPr>
            <b/>
            <sz val="9"/>
            <color indexed="81"/>
            <rFont val="Tahoma"/>
            <family val="2"/>
          </rPr>
          <t xml:space="preserve">
x1.5: </t>
        </r>
        <r>
          <rPr>
            <b/>
            <sz val="9"/>
            <color indexed="81"/>
            <rFont val="細明體"/>
            <family val="3"/>
            <charset val="136"/>
          </rPr>
          <t>組合科學</t>
        </r>
        <r>
          <rPr>
            <b/>
            <sz val="9"/>
            <color indexed="81"/>
            <rFont val="Tahoma"/>
            <family val="2"/>
          </rPr>
          <t>(</t>
        </r>
        <r>
          <rPr>
            <b/>
            <sz val="9"/>
            <color indexed="81"/>
            <rFont val="細明體"/>
            <family val="3"/>
            <charset val="136"/>
          </rPr>
          <t>生物、化學</t>
        </r>
        <r>
          <rPr>
            <b/>
            <sz val="9"/>
            <color indexed="81"/>
            <rFont val="Tahoma"/>
            <family val="2"/>
          </rPr>
          <t>)</t>
        </r>
        <r>
          <rPr>
            <b/>
            <sz val="9"/>
            <color indexed="81"/>
            <rFont val="細明體"/>
            <family val="3"/>
            <charset val="136"/>
          </rPr>
          <t>，化學，</t>
        </r>
        <r>
          <rPr>
            <b/>
            <sz val="9"/>
            <color indexed="81"/>
            <rFont val="Tahoma"/>
            <family val="2"/>
          </rPr>
          <t>DAT</t>
        </r>
        <r>
          <rPr>
            <b/>
            <sz val="9"/>
            <color indexed="81"/>
            <rFont val="細明體"/>
            <family val="3"/>
            <charset val="136"/>
          </rPr>
          <t>，</t>
        </r>
        <r>
          <rPr>
            <b/>
            <sz val="9"/>
            <color indexed="81"/>
            <rFont val="Tahoma"/>
            <family val="2"/>
          </rPr>
          <t>M1/2</t>
        </r>
        <r>
          <rPr>
            <sz val="9"/>
            <color indexed="81"/>
            <rFont val="Tahoma"/>
            <family val="2"/>
          </rPr>
          <t xml:space="preserve">
</t>
        </r>
      </text>
    </comment>
    <comment ref="S41" authorId="0" shapeId="0" xr:uid="{0A57EF7A-774F-4CE0-9446-D2CB15783175}">
      <text>
        <r>
          <rPr>
            <b/>
            <sz val="9"/>
            <color indexed="81"/>
            <rFont val="Tahoma"/>
            <family val="2"/>
          </rPr>
          <t>Level 3</t>
        </r>
        <r>
          <rPr>
            <sz val="9"/>
            <color indexed="81"/>
            <rFont val="Tahoma"/>
            <family val="2"/>
          </rPr>
          <t xml:space="preserve"> in one elective subject from:
- Chemistry
- Combined Science
- M1/2
- DAT
- Physics</t>
        </r>
      </text>
    </comment>
    <comment ref="E42" authorId="1" shapeId="0" xr:uid="{68D4915A-ECA4-462F-90CD-03B140A34F3E}">
      <text>
        <r>
          <rPr>
            <b/>
            <sz val="9"/>
            <color indexed="81"/>
            <rFont val="Tahoma"/>
            <family val="2"/>
          </rPr>
          <t xml:space="preserve">x2: </t>
        </r>
        <r>
          <rPr>
            <b/>
            <sz val="9"/>
            <color indexed="81"/>
            <rFont val="細明體"/>
            <family val="3"/>
            <charset val="136"/>
          </rPr>
          <t xml:space="preserve">英文，物理
</t>
        </r>
        <r>
          <rPr>
            <b/>
            <sz val="9"/>
            <color indexed="81"/>
            <rFont val="Tahoma"/>
            <family val="2"/>
          </rPr>
          <t xml:space="preserve">x1.5: M1/2
x1.25: </t>
        </r>
        <r>
          <rPr>
            <b/>
            <sz val="9"/>
            <color indexed="81"/>
            <rFont val="細明體"/>
            <family val="3"/>
            <charset val="136"/>
          </rPr>
          <t xml:space="preserve">數學
</t>
        </r>
        <r>
          <rPr>
            <sz val="9"/>
            <color indexed="81"/>
            <rFont val="Tahoma"/>
            <family val="2"/>
          </rPr>
          <t xml:space="preserve">
</t>
        </r>
      </text>
    </comment>
    <comment ref="S42" authorId="0" shapeId="0" xr:uid="{12455D26-575E-4EE9-9B2E-74F917D52EF4}">
      <text>
        <r>
          <rPr>
            <b/>
            <sz val="9"/>
            <color indexed="81"/>
            <rFont val="Tahoma"/>
            <family val="2"/>
          </rPr>
          <t>Level 3</t>
        </r>
        <r>
          <rPr>
            <sz val="9"/>
            <color indexed="81"/>
            <rFont val="Tahoma"/>
            <family val="2"/>
          </rPr>
          <t xml:space="preserve"> in one elective subject from:
- Chemistry
- Combined Science
(Biology and Physics)
- Combined Science
(Chemistry and Physics)
- DAT
- Physics</t>
        </r>
      </text>
    </comment>
    <comment ref="E43" authorId="1" shapeId="0" xr:uid="{B16ACEFC-6126-4307-BB74-C61AA921F1DC}">
      <text>
        <r>
          <rPr>
            <b/>
            <sz val="9"/>
            <color indexed="81"/>
            <rFont val="Tahoma"/>
            <family val="2"/>
          </rPr>
          <t xml:space="preserve">x2: </t>
        </r>
        <r>
          <rPr>
            <b/>
            <sz val="9"/>
            <color indexed="81"/>
            <rFont val="細明體"/>
            <family val="3"/>
            <charset val="136"/>
          </rPr>
          <t xml:space="preserve">英文，物理
</t>
        </r>
        <r>
          <rPr>
            <b/>
            <sz val="9"/>
            <color indexed="81"/>
            <rFont val="Tahoma"/>
            <family val="2"/>
          </rPr>
          <t>x1.5: M1/2</t>
        </r>
        <r>
          <rPr>
            <b/>
            <sz val="9"/>
            <color indexed="81"/>
            <rFont val="細明體"/>
            <family val="3"/>
            <charset val="136"/>
          </rPr>
          <t xml:space="preserve">，化學
</t>
        </r>
        <r>
          <rPr>
            <sz val="9"/>
            <color indexed="81"/>
            <rFont val="Tahoma"/>
            <family val="2"/>
          </rPr>
          <t xml:space="preserve">
</t>
        </r>
      </text>
    </comment>
    <comment ref="S43" authorId="0" shapeId="0" xr:uid="{57FCED6B-1DB2-4C16-A238-B85298680620}">
      <text>
        <r>
          <rPr>
            <b/>
            <sz val="9"/>
            <color indexed="81"/>
            <rFont val="Tahoma"/>
            <family val="2"/>
          </rPr>
          <t xml:space="preserve">Level 3 </t>
        </r>
        <r>
          <rPr>
            <sz val="9"/>
            <color indexed="81"/>
            <rFont val="Tahoma"/>
            <family val="2"/>
          </rPr>
          <t xml:space="preserve">in one elective subject from:
- Chemistry
- Combined Science (Biology and Physics)
- Combined Science (Chemistry and Physics)
- DAT
- Physics
</t>
        </r>
      </text>
    </comment>
    <comment ref="E44" authorId="1" shapeId="0" xr:uid="{E7BF6642-F238-403A-B3C0-6B2E97A4B526}">
      <text>
        <r>
          <rPr>
            <b/>
            <sz val="9"/>
            <color indexed="81"/>
            <rFont val="Tahoma"/>
            <family val="2"/>
          </rPr>
          <t xml:space="preserve">x2: </t>
        </r>
        <r>
          <rPr>
            <b/>
            <sz val="9"/>
            <color indexed="81"/>
            <rFont val="細明體"/>
            <family val="3"/>
            <charset val="136"/>
          </rPr>
          <t xml:space="preserve">英文，數學，化學，物理，生物，組合科學
</t>
        </r>
        <r>
          <rPr>
            <sz val="9"/>
            <color indexed="81"/>
            <rFont val="Tahoma"/>
            <family val="2"/>
          </rPr>
          <t xml:space="preserve">
</t>
        </r>
      </text>
    </comment>
    <comment ref="S44" authorId="0" shapeId="0" xr:uid="{41B4A46E-4EA2-426C-98DE-EBA4FDA8B036}">
      <text>
        <r>
          <rPr>
            <b/>
            <sz val="9"/>
            <color indexed="81"/>
            <rFont val="Tahoma"/>
            <family val="2"/>
          </rPr>
          <t>Level 3</t>
        </r>
        <r>
          <rPr>
            <sz val="9"/>
            <color indexed="81"/>
            <rFont val="Tahoma"/>
            <family val="2"/>
          </rPr>
          <t xml:space="preserve"> in one elective subject from:
- Biology
- Chemistry
- Combined Science
- Physics</t>
        </r>
      </text>
    </comment>
    <comment ref="E45" authorId="1" shapeId="0" xr:uid="{A4E30C35-B64F-4FE4-9774-14F11E5F7BDF}">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S45" authorId="0" shapeId="0" xr:uid="{3FD70A95-C8DA-40B2-8700-81BBE1F9F958}">
      <text>
        <r>
          <rPr>
            <b/>
            <sz val="9"/>
            <color indexed="81"/>
            <rFont val="Tahoma"/>
            <family val="2"/>
          </rPr>
          <t>Level 3</t>
        </r>
        <r>
          <rPr>
            <sz val="9"/>
            <color indexed="81"/>
            <rFont val="Tahoma"/>
            <family val="2"/>
          </rPr>
          <t xml:space="preserve"> in one elective subject from:
- Combined Science (Biology and Physics)
- Combined Science (Chemistry and Physics)
- Integrated Science
- Physics</t>
        </r>
      </text>
    </comment>
    <comment ref="E46" authorId="1" shapeId="0" xr:uid="{8C82018B-D9F3-4338-9ACE-F83C7843A2CB}">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S46" authorId="0" shapeId="0" xr:uid="{DD8E49B2-4E71-4464-A5DB-BED5F3DB5E71}">
      <text>
        <r>
          <rPr>
            <b/>
            <sz val="9"/>
            <color indexed="81"/>
            <rFont val="Tahoma"/>
            <family val="2"/>
          </rPr>
          <t>Level 3</t>
        </r>
        <r>
          <rPr>
            <sz val="9"/>
            <color indexed="81"/>
            <rFont val="Tahoma"/>
            <family val="2"/>
          </rPr>
          <t xml:space="preserve"> in one elective subject from:
- Combined Science (Biology and Physics)
- Combined Science (Chemistry and Physics)
- Integrated Science
- Physics</t>
        </r>
      </text>
    </comment>
    <comment ref="E47" authorId="1" shapeId="0" xr:uid="{89B62C21-F406-414E-9C44-ED2B00AAABE7}">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S47" authorId="0" shapeId="0" xr:uid="{43E75048-0CC9-44AE-8233-B79422C59D34}">
      <text>
        <r>
          <rPr>
            <b/>
            <sz val="9"/>
            <color indexed="81"/>
            <rFont val="Tahoma"/>
            <family val="2"/>
          </rPr>
          <t>Level 3</t>
        </r>
        <r>
          <rPr>
            <sz val="9"/>
            <color indexed="81"/>
            <rFont val="Tahoma"/>
            <family val="2"/>
          </rPr>
          <t xml:space="preserve"> in one elective subject from:
- Combined Science (Biology and Physics)
- Combined Science (Chemistry and Physics)
- Integrated Science
- Physics</t>
        </r>
      </text>
    </comment>
    <comment ref="E48" authorId="1" shapeId="0" xr:uid="{D72EDC9B-65C7-41BB-83C9-2EA71789AB85}">
      <text>
        <r>
          <rPr>
            <b/>
            <sz val="9"/>
            <color indexed="81"/>
            <rFont val="Tahoma"/>
            <family val="2"/>
          </rPr>
          <t xml:space="preserve">x2: </t>
        </r>
        <r>
          <rPr>
            <b/>
            <sz val="9"/>
            <color indexed="81"/>
            <rFont val="細明體"/>
            <family val="3"/>
            <charset val="136"/>
          </rPr>
          <t>英文</t>
        </r>
        <r>
          <rPr>
            <b/>
            <sz val="9"/>
            <color indexed="81"/>
            <rFont val="Tahoma"/>
            <family val="2"/>
          </rPr>
          <t xml:space="preserve">
x1.5: </t>
        </r>
        <r>
          <rPr>
            <b/>
            <sz val="9"/>
            <color indexed="81"/>
            <rFont val="細明體"/>
            <family val="3"/>
            <charset val="136"/>
          </rPr>
          <t>數學</t>
        </r>
        <r>
          <rPr>
            <b/>
            <sz val="9"/>
            <color indexed="81"/>
            <rFont val="Tahoma"/>
            <family val="2"/>
          </rPr>
          <t xml:space="preserve">
</t>
        </r>
      </text>
    </comment>
    <comment ref="S48" authorId="0" shapeId="0" xr:uid="{07B1C20C-192F-4CBF-999F-FADD9492C683}">
      <text>
        <r>
          <rPr>
            <b/>
            <sz val="9"/>
            <color indexed="81"/>
            <rFont val="Tahoma"/>
            <family val="2"/>
          </rPr>
          <t>Level 3</t>
        </r>
        <r>
          <rPr>
            <sz val="9"/>
            <color indexed="81"/>
            <rFont val="Tahoma"/>
            <family val="2"/>
          </rPr>
          <t xml:space="preserve"> in one elective subject from:
- Combined Science (Biology and Physics)
- Combined Science (Chemistry and Physics)
- Integrated Science
- Physics</t>
        </r>
      </text>
    </comment>
    <comment ref="S49" authorId="0" shapeId="0" xr:uid="{C0509FB3-744B-4438-8DEF-7BAFF01B238A}">
      <text>
        <r>
          <rPr>
            <b/>
            <sz val="9"/>
            <color indexed="81"/>
            <rFont val="Tahoma"/>
            <family val="2"/>
          </rPr>
          <t xml:space="preserve">Level 3 </t>
        </r>
        <r>
          <rPr>
            <sz val="9"/>
            <color indexed="81"/>
            <rFont val="Tahoma"/>
            <family val="2"/>
          </rPr>
          <t>in Biology and Chemistry</t>
        </r>
      </text>
    </comment>
    <comment ref="T49" authorId="0" shapeId="0" xr:uid="{A64AD1CB-A954-429F-B71D-CDBE94F85C79}">
      <text>
        <r>
          <rPr>
            <b/>
            <sz val="9"/>
            <color indexed="81"/>
            <rFont val="Tahoma"/>
            <family val="2"/>
          </rPr>
          <t xml:space="preserve">Level 3 </t>
        </r>
        <r>
          <rPr>
            <sz val="9"/>
            <color indexed="81"/>
            <rFont val="Tahoma"/>
            <family val="2"/>
          </rPr>
          <t>in Biology and Chemistry</t>
        </r>
      </text>
    </comment>
    <comment ref="E50" authorId="1" shapeId="0" xr:uid="{312A6E0C-4E04-43F8-B32A-340013AC0123}">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S50" authorId="0" shapeId="0" xr:uid="{697B4C1C-5001-4740-91A0-9A66E7886568}">
      <text>
        <r>
          <rPr>
            <b/>
            <sz val="9"/>
            <color indexed="81"/>
            <rFont val="Tahoma"/>
            <family val="2"/>
          </rPr>
          <t>Level 3</t>
        </r>
        <r>
          <rPr>
            <sz val="9"/>
            <color indexed="81"/>
            <rFont val="Tahoma"/>
            <family val="2"/>
          </rPr>
          <t xml:space="preserve"> in one elective subject from:
- Biology
- Chemistry
- Combined Science</t>
        </r>
      </text>
    </comment>
    <comment ref="T50" authorId="0" shapeId="0" xr:uid="{18C33737-4F0E-4EBF-962A-2C27E83C3044}">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 ref="E51" authorId="1" shapeId="0" xr:uid="{3F245541-C18D-4CD0-BDDD-C3925D71D39D}">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S51" authorId="0" shapeId="0" xr:uid="{279604B0-1D0D-41B8-82D2-C3ABBA71E4ED}">
      <text>
        <r>
          <rPr>
            <b/>
            <sz val="9"/>
            <color indexed="81"/>
            <rFont val="Tahoma"/>
            <family val="2"/>
          </rPr>
          <t>Level 3</t>
        </r>
        <r>
          <rPr>
            <sz val="9"/>
            <color indexed="81"/>
            <rFont val="Tahoma"/>
            <family val="2"/>
          </rPr>
          <t xml:space="preserve"> in one elective subject from:
- Biology
- Chemistry
- Combined Science</t>
        </r>
      </text>
    </comment>
    <comment ref="T51" authorId="0" shapeId="0" xr:uid="{8481AB38-E7C8-44E6-A924-713612B1DBA8}">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 ref="E52" authorId="1" shapeId="0" xr:uid="{D454F7D7-5E72-43C7-B1AA-6687D85EC805}">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S52" authorId="0" shapeId="0" xr:uid="{AD7F1448-F335-4812-B3C3-7EDAD84A5E3E}">
      <text>
        <r>
          <rPr>
            <b/>
            <sz val="9"/>
            <color indexed="81"/>
            <rFont val="Tahoma"/>
            <family val="2"/>
          </rPr>
          <t>Level 3</t>
        </r>
        <r>
          <rPr>
            <sz val="9"/>
            <color indexed="81"/>
            <rFont val="Tahoma"/>
            <family val="2"/>
          </rPr>
          <t xml:space="preserve"> in one elective subject from:
- Biology
- Chemistry
- Combined Science</t>
        </r>
      </text>
    </comment>
    <comment ref="T52" authorId="0" shapeId="0" xr:uid="{E6C66558-15EE-4E57-B29B-EF8783A0ADB3}">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author>
    <author>Michael Chan</author>
  </authors>
  <commentList>
    <comment ref="M1" authorId="0" shapeId="0" xr:uid="{16E7B8E0-F057-4D30-A894-09B0A387E4AD}">
      <text>
        <r>
          <rPr>
            <b/>
            <sz val="9"/>
            <color indexed="81"/>
            <rFont val="Tahoma"/>
            <family val="2"/>
          </rPr>
          <t>2019</t>
        </r>
        <r>
          <rPr>
            <b/>
            <sz val="9"/>
            <color indexed="81"/>
            <rFont val="細明體"/>
            <family val="3"/>
            <charset val="136"/>
          </rPr>
          <t>年</t>
        </r>
        <r>
          <rPr>
            <b/>
            <sz val="9"/>
            <color indexed="81"/>
            <rFont val="Tahoma"/>
            <family val="2"/>
          </rPr>
          <t xml:space="preserve"> Band A
</t>
        </r>
        <r>
          <rPr>
            <b/>
            <sz val="9"/>
            <color indexed="81"/>
            <rFont val="細明體"/>
            <family val="3"/>
            <charset val="136"/>
          </rPr>
          <t>收生人數</t>
        </r>
        <r>
          <rPr>
            <sz val="9"/>
            <color indexed="81"/>
            <rFont val="Tahoma"/>
            <family val="2"/>
          </rPr>
          <t xml:space="preserve">
</t>
        </r>
      </text>
    </comment>
    <comment ref="E2" authorId="1" shapeId="0" xr:uid="{7932BAFE-0354-4071-94BC-979FCD21B4BE}">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E3" authorId="1" shapeId="0" xr:uid="{7389709A-DC59-4D43-8C00-B8283ED2B9BA}">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t>
        </r>
        <r>
          <rPr>
            <sz val="9"/>
            <color indexed="81"/>
            <rFont val="Tahoma"/>
            <family val="2"/>
          </rPr>
          <t xml:space="preserve">
</t>
        </r>
      </text>
    </comment>
    <comment ref="F3" authorId="1" shapeId="0" xr:uid="{A553B1DC-CDA7-4521-9792-2E3EDD2CE0F1}">
      <text>
        <r>
          <rPr>
            <b/>
            <sz val="9"/>
            <color indexed="81"/>
            <rFont val="Tahoma"/>
            <family val="2"/>
          </rPr>
          <t xml:space="preserve">2018/19 </t>
        </r>
        <r>
          <rPr>
            <b/>
            <sz val="9"/>
            <color indexed="81"/>
            <rFont val="細明體"/>
            <family val="3"/>
            <charset val="136"/>
          </rPr>
          <t>年度以「</t>
        </r>
        <r>
          <rPr>
            <b/>
            <sz val="9"/>
            <color indexed="81"/>
            <rFont val="Tahoma"/>
            <family val="2"/>
          </rPr>
          <t xml:space="preserve">JS2020 </t>
        </r>
        <r>
          <rPr>
            <b/>
            <sz val="9"/>
            <color indexed="81"/>
            <rFont val="細明體"/>
            <family val="3"/>
            <charset val="136"/>
          </rPr>
          <t>文學士」作聯合收生</t>
        </r>
      </text>
    </comment>
    <comment ref="G3" authorId="1" shapeId="0" xr:uid="{F7331DA4-CD8C-4984-97CD-87821CD72EB1}">
      <text>
        <r>
          <rPr>
            <b/>
            <sz val="9"/>
            <color indexed="81"/>
            <rFont val="Tahoma"/>
            <family val="2"/>
          </rPr>
          <t>2019</t>
        </r>
        <r>
          <rPr>
            <b/>
            <sz val="9"/>
            <color indexed="81"/>
            <rFont val="細明體"/>
            <family val="3"/>
            <charset val="136"/>
          </rPr>
          <t>年以「</t>
        </r>
        <r>
          <rPr>
            <b/>
            <sz val="9"/>
            <color indexed="81"/>
            <rFont val="Tahoma"/>
            <family val="2"/>
          </rPr>
          <t xml:space="preserve">JS2020 </t>
        </r>
        <r>
          <rPr>
            <b/>
            <sz val="9"/>
            <color indexed="81"/>
            <rFont val="細明體"/>
            <family val="3"/>
            <charset val="136"/>
          </rPr>
          <t>」聯合收生</t>
        </r>
        <r>
          <rPr>
            <sz val="9"/>
            <color indexed="81"/>
            <rFont val="Tahoma"/>
            <family val="2"/>
          </rPr>
          <t xml:space="preserve">
</t>
        </r>
      </text>
    </comment>
    <comment ref="E9" authorId="1" shapeId="0" xr:uid="{74537CD2-57E9-4858-9B37-D768111BB042}">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N9" authorId="1" shapeId="0" xr:uid="{D541BE18-CDFB-451E-A695-A0707C1C5E35}">
      <text>
        <r>
          <rPr>
            <b/>
            <sz val="9"/>
            <color indexed="81"/>
            <rFont val="Tahoma"/>
            <family val="2"/>
          </rPr>
          <t xml:space="preserve">Music qualifications to be determined </t>
        </r>
        <r>
          <rPr>
            <sz val="9"/>
            <color indexed="81"/>
            <rFont val="Tahoma"/>
            <family val="2"/>
          </rPr>
          <t>by the Department (Details: http://mus.hkbu.edu.hk/undergraduate.html)</t>
        </r>
      </text>
    </comment>
    <comment ref="E10" authorId="1" shapeId="0" xr:uid="{468D9690-AF6D-4BFE-AFD6-9BAAECB89A4A}">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英文、英語文學</t>
        </r>
        <r>
          <rPr>
            <b/>
            <sz val="9"/>
            <color indexed="81"/>
            <rFont val="Tahoma"/>
            <family val="2"/>
          </rPr>
          <t xml:space="preserve">x2
</t>
        </r>
        <r>
          <rPr>
            <b/>
            <sz val="9"/>
            <color indexed="81"/>
            <rFont val="細明體"/>
            <family val="3"/>
            <charset val="136"/>
          </rPr>
          <t>中文、中國文學、通識、數學</t>
        </r>
        <r>
          <rPr>
            <b/>
            <sz val="9"/>
            <color indexed="81"/>
            <rFont val="Tahoma"/>
            <family val="2"/>
          </rPr>
          <t xml:space="preserve"> x1.5</t>
        </r>
      </text>
    </comment>
    <comment ref="P10" authorId="1" shapeId="0" xr:uid="{0C8AD444-B16C-49CC-BC27-1C0481F24819}">
      <text>
        <r>
          <rPr>
            <sz val="9"/>
            <color indexed="81"/>
            <rFont val="Tahoma"/>
            <family val="2"/>
          </rPr>
          <t>Good results in</t>
        </r>
        <r>
          <rPr>
            <b/>
            <sz val="9"/>
            <color indexed="81"/>
            <rFont val="Tahoma"/>
            <family val="2"/>
          </rPr>
          <t xml:space="preserve"> Chinese and English Language </t>
        </r>
        <r>
          <rPr>
            <sz val="9"/>
            <color indexed="81"/>
            <rFont val="Tahoma"/>
            <family val="2"/>
          </rPr>
          <t xml:space="preserve">subjects are preferred.
</t>
        </r>
      </text>
    </comment>
    <comment ref="Q10" authorId="1" shapeId="0" xr:uid="{A5B00B1F-9A19-4FEF-84B0-2852CEC7AF85}">
      <text>
        <r>
          <rPr>
            <sz val="9"/>
            <color indexed="81"/>
            <rFont val="Tahoma"/>
            <family val="2"/>
          </rPr>
          <t>Good results in</t>
        </r>
        <r>
          <rPr>
            <b/>
            <sz val="9"/>
            <color indexed="81"/>
            <rFont val="Tahoma"/>
            <family val="2"/>
          </rPr>
          <t xml:space="preserve"> Chinese and English Language </t>
        </r>
        <r>
          <rPr>
            <sz val="9"/>
            <color indexed="81"/>
            <rFont val="Tahoma"/>
            <family val="2"/>
          </rPr>
          <t xml:space="preserve">subjects are preferred.
</t>
        </r>
      </text>
    </comment>
    <comment ref="C11" authorId="1" shapeId="0" xr:uid="{4B282407-77F9-4D48-9147-263465557634}">
      <text>
        <r>
          <rPr>
            <sz val="9"/>
            <color indexed="81"/>
            <rFont val="Tahoma"/>
            <family val="2"/>
          </rPr>
          <t xml:space="preserve">Shortlisted applicants are required to submit portfolio and to attend an interview/audition. 
Please refer to the programme website for more details: http://mus.hkbu.edu.hk/BM.html.
</t>
        </r>
      </text>
    </comment>
    <comment ref="E11" authorId="1" shapeId="0" xr:uid="{D5497085-9264-4D6B-9E48-33B31AECEE28}">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N11" authorId="1" shapeId="0" xr:uid="{C49EBC9B-FC71-4AD1-B4C7-3C5540EFC3CA}">
      <text>
        <r>
          <rPr>
            <b/>
            <sz val="9"/>
            <color indexed="81"/>
            <rFont val="Tahoma"/>
            <family val="2"/>
          </rPr>
          <t>Music qualifications to be determined</t>
        </r>
        <r>
          <rPr>
            <sz val="9"/>
            <color indexed="81"/>
            <rFont val="Tahoma"/>
            <family val="2"/>
          </rPr>
          <t xml:space="preserve"> by the Department. </t>
        </r>
      </text>
    </comment>
    <comment ref="E12" authorId="1" shapeId="0" xr:uid="{BC8BF3F3-6CDC-468F-891D-28D3C5B229D8}">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英文</t>
        </r>
        <r>
          <rPr>
            <b/>
            <sz val="9"/>
            <color indexed="81"/>
            <rFont val="Tahoma"/>
            <family val="2"/>
          </rPr>
          <t xml:space="preserve"> x1.5
</t>
        </r>
      </text>
    </comment>
    <comment ref="Q12" authorId="1" shapeId="0" xr:uid="{4BE1EA2A-92F5-445A-A74A-7C00E5AF366F}">
      <text>
        <r>
          <rPr>
            <b/>
            <sz val="9"/>
            <color indexed="81"/>
            <rFont val="Tahoma"/>
            <family val="2"/>
          </rPr>
          <t>Good result in English Language</t>
        </r>
        <r>
          <rPr>
            <sz val="9"/>
            <color indexed="81"/>
            <rFont val="Tahoma"/>
            <family val="2"/>
          </rPr>
          <t xml:space="preserve"> subject is preferred.</t>
        </r>
      </text>
    </comment>
    <comment ref="E13" authorId="1" shapeId="0" xr:uid="{EAA30A71-09B7-4F61-AC8C-2EF33C1677D4}">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英文</t>
        </r>
        <r>
          <rPr>
            <b/>
            <sz val="9"/>
            <color indexed="81"/>
            <rFont val="Tahoma"/>
            <family val="2"/>
          </rPr>
          <t xml:space="preserve"> x1.5
</t>
        </r>
      </text>
    </comment>
    <comment ref="Q13" authorId="1" shapeId="0" xr:uid="{AD612AE6-E0A5-4EF8-AD3F-7912CE3D17A3}">
      <text>
        <r>
          <rPr>
            <b/>
            <sz val="9"/>
            <color indexed="81"/>
            <rFont val="Tahoma"/>
            <family val="2"/>
          </rPr>
          <t>Good result in English Language</t>
        </r>
        <r>
          <rPr>
            <sz val="9"/>
            <color indexed="81"/>
            <rFont val="Tahoma"/>
            <family val="2"/>
          </rPr>
          <t xml:space="preserve"> subject is preferred.</t>
        </r>
      </text>
    </comment>
    <comment ref="E14" authorId="1" shapeId="0" xr:uid="{125A1C59-73F2-433F-9DE5-40F1DC7DCD34}">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包括中、英文</t>
        </r>
        <r>
          <rPr>
            <b/>
            <sz val="9"/>
            <color indexed="81"/>
            <rFont val="Tahoma"/>
            <family val="2"/>
          </rPr>
          <t>)</t>
        </r>
        <r>
          <rPr>
            <b/>
            <sz val="9"/>
            <color indexed="81"/>
            <rFont val="細明體"/>
            <family val="3"/>
            <charset val="136"/>
          </rPr>
          <t xml:space="preserve">
中文、英文</t>
        </r>
        <r>
          <rPr>
            <b/>
            <sz val="9"/>
            <color indexed="81"/>
            <rFont val="Tahoma"/>
            <family val="2"/>
          </rPr>
          <t xml:space="preserve"> x1.25</t>
        </r>
      </text>
    </comment>
    <comment ref="P14" authorId="1" shapeId="0" xr:uid="{3BE3B762-6B7A-4C0B-BBEC-B66C856F546E}">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Q14" authorId="1" shapeId="0" xr:uid="{F8F1AA60-4766-49D6-806D-E1A37807F4BC}">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C15" authorId="1" shapeId="0" xr:uid="{D24D9CE7-4580-49A1-A104-BDD1D2EB3742}">
      <text>
        <r>
          <rPr>
            <sz val="9"/>
            <color indexed="81"/>
            <rFont val="Tahoma"/>
            <family val="2"/>
          </rPr>
          <t xml:space="preserve">Candidates may be required to attend an interview. Candidates are required to present their portfolios during the interview. They do not need to submit their portfolios before/after the interview. 
</t>
        </r>
      </text>
    </comment>
    <comment ref="E15" authorId="1" shapeId="0" xr:uid="{84EC7DB9-21D8-4D4E-AFAB-13CBBAD330B3}">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包括中、英文</t>
        </r>
        <r>
          <rPr>
            <b/>
            <sz val="9"/>
            <color indexed="81"/>
            <rFont val="Tahoma"/>
            <family val="2"/>
          </rPr>
          <t>)</t>
        </r>
        <r>
          <rPr>
            <b/>
            <sz val="9"/>
            <color indexed="81"/>
            <rFont val="細明體"/>
            <family val="3"/>
            <charset val="136"/>
          </rPr>
          <t xml:space="preserve">
中文、英文</t>
        </r>
        <r>
          <rPr>
            <b/>
            <sz val="9"/>
            <color indexed="81"/>
            <rFont val="Tahoma"/>
            <family val="2"/>
          </rPr>
          <t xml:space="preserve"> x1.25</t>
        </r>
      </text>
    </comment>
    <comment ref="P15" authorId="1" shapeId="0" xr:uid="{1F74A354-49F2-42FB-BF59-7CCD62D2A575}">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Q15" authorId="1" shapeId="0" xr:uid="{1A92325E-D0CF-47C0-917E-1E5FE615E1FE}">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C16" authorId="1" shapeId="0" xr:uid="{1DF66172-E43E-4822-8B5F-154F0390C186}">
      <text>
        <r>
          <rPr>
            <sz val="9"/>
            <color indexed="81"/>
            <rFont val="Tahoma"/>
            <family val="2"/>
          </rPr>
          <t xml:space="preserve">Candidates may be required to attend an interview. Candidates are required to present their portfolios during the interview. They do not need to submit their portfolios before/after the interview. 
</t>
        </r>
      </text>
    </comment>
    <comment ref="E16" authorId="1" shapeId="0" xr:uid="{D1A59A2F-9738-4C12-A85A-6EBC9A3E1A5D}">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包括中、英文</t>
        </r>
        <r>
          <rPr>
            <b/>
            <sz val="9"/>
            <color indexed="81"/>
            <rFont val="Tahoma"/>
            <family val="2"/>
          </rPr>
          <t>)</t>
        </r>
        <r>
          <rPr>
            <b/>
            <sz val="9"/>
            <color indexed="81"/>
            <rFont val="細明體"/>
            <family val="3"/>
            <charset val="136"/>
          </rPr>
          <t xml:space="preserve">
中文、英文</t>
        </r>
        <r>
          <rPr>
            <b/>
            <sz val="9"/>
            <color indexed="81"/>
            <rFont val="Tahoma"/>
            <family val="2"/>
          </rPr>
          <t xml:space="preserve"> x1.25</t>
        </r>
      </text>
    </comment>
    <comment ref="P16" authorId="1" shapeId="0" xr:uid="{B7C8C276-4139-49D9-9FDB-47E1E568F3F4}">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Q16" authorId="1" shapeId="0" xr:uid="{66A829A2-6C59-476A-A12E-76E6D03B3208}">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C17" authorId="1" shapeId="0" xr:uid="{081B17BC-0C21-4F52-B0FD-9C26D1686713}">
      <text>
        <r>
          <rPr>
            <sz val="9"/>
            <color indexed="81"/>
            <rFont val="Tahoma"/>
            <family val="2"/>
          </rPr>
          <t>Applicants are required to submit portfolio related to the discipline for the application. They can refer to the website: http://af.hkbu.edu.hk/en/prog-bfa for further details.
Shortlisted applicants will be invited to attend audition and interview.</t>
        </r>
      </text>
    </comment>
    <comment ref="E17" authorId="1" shapeId="0" xr:uid="{848D7FBD-55FF-4FEB-9952-CDDACEDD7C1C}">
      <text>
        <r>
          <rPr>
            <b/>
            <sz val="9"/>
            <color indexed="81"/>
            <rFont val="Tahoma"/>
            <family val="2"/>
          </rPr>
          <t>2020</t>
        </r>
        <r>
          <rPr>
            <b/>
            <sz val="9"/>
            <color indexed="81"/>
            <rFont val="細明體"/>
            <family val="3"/>
            <charset val="136"/>
          </rPr>
          <t xml:space="preserve">年新科目
</t>
        </r>
        <r>
          <rPr>
            <b/>
            <sz val="9"/>
            <color indexed="81"/>
            <rFont val="Tahoma"/>
            <family val="2"/>
          </rPr>
          <t>Best 5 (</t>
        </r>
        <r>
          <rPr>
            <b/>
            <sz val="9"/>
            <color indexed="81"/>
            <rFont val="細明體"/>
            <family val="3"/>
            <charset val="136"/>
          </rPr>
          <t>包括英文</t>
        </r>
        <r>
          <rPr>
            <b/>
            <sz val="9"/>
            <color indexed="81"/>
            <rFont val="Tahoma"/>
            <family val="2"/>
          </rPr>
          <t>)</t>
        </r>
        <r>
          <rPr>
            <b/>
            <sz val="9"/>
            <color indexed="81"/>
            <rFont val="細明體"/>
            <family val="3"/>
            <charset val="136"/>
          </rPr>
          <t xml:space="preserve">
所有科目</t>
        </r>
        <r>
          <rPr>
            <b/>
            <sz val="9"/>
            <color indexed="81"/>
            <rFont val="Tahoma"/>
            <family val="2"/>
          </rPr>
          <t xml:space="preserve"> x1</t>
        </r>
        <r>
          <rPr>
            <sz val="9"/>
            <color indexed="81"/>
            <rFont val="Tahoma"/>
            <family val="2"/>
          </rPr>
          <t xml:space="preserve">
</t>
        </r>
      </text>
    </comment>
    <comment ref="Q17" authorId="1" shapeId="0" xr:uid="{A325E0F9-C1EA-4FB7-81BC-F16F8A325A21}">
      <text>
        <r>
          <rPr>
            <sz val="9"/>
            <color indexed="81"/>
            <rFont val="Tahoma"/>
            <family val="2"/>
          </rPr>
          <t xml:space="preserve">Good results in </t>
        </r>
        <r>
          <rPr>
            <b/>
            <sz val="9"/>
            <color indexed="81"/>
            <rFont val="Tahoma"/>
            <family val="2"/>
          </rPr>
          <t xml:space="preserve">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C18" authorId="1" shapeId="0" xr:uid="{DBF88CF3-FA6A-406A-88F0-84F174F561E4}">
      <text>
        <r>
          <rPr>
            <sz val="9"/>
            <color indexed="81"/>
            <rFont val="Tahoma"/>
            <family val="2"/>
          </rPr>
          <t>Shortlisted applicants may be invited to attend interivew.</t>
        </r>
      </text>
    </comment>
    <comment ref="E18" authorId="1" shapeId="0" xr:uid="{0DF9AC25-9046-4ECB-BF18-36A9A1FDD2BE}">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 xml:space="preserve">x1.5: </t>
        </r>
        <r>
          <rPr>
            <sz val="9"/>
            <color indexed="81"/>
            <rFont val="細明體"/>
            <family val="3"/>
            <charset val="136"/>
          </rPr>
          <t>中文、英文、生物</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中史、中國文學、化學、組合科學、數學、物理</t>
        </r>
      </text>
    </comment>
    <comment ref="T18" authorId="0" shapeId="0" xr:uid="{E38631E5-2A8D-43F9-892B-3EEA96DEDF86}">
      <text>
        <r>
          <rPr>
            <sz val="9"/>
            <color indexed="81"/>
            <rFont val="Tahoma"/>
            <family val="2"/>
          </rPr>
          <t xml:space="preserve">One elective must be </t>
        </r>
        <r>
          <rPr>
            <b/>
            <sz val="9"/>
            <color indexed="81"/>
            <rFont val="Tahoma"/>
            <family val="2"/>
          </rPr>
          <t>Biology or Chemistry.</t>
        </r>
      </text>
    </comment>
    <comment ref="C19" authorId="1" shapeId="0" xr:uid="{2E71FE70-6FF1-43E2-9A7E-FF73589A0D53}">
      <text>
        <r>
          <rPr>
            <sz val="9"/>
            <color indexed="81"/>
            <rFont val="Tahoma"/>
            <family val="2"/>
          </rPr>
          <t>Shortlisted applicants may be invited to attend interivew.</t>
        </r>
      </text>
    </comment>
    <comment ref="E19" authorId="1" shapeId="0" xr:uid="{52D540E7-1C70-4FA0-AA67-BFD3F2EC90FE}">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 xml:space="preserve">x1.5: </t>
        </r>
        <r>
          <rPr>
            <sz val="9"/>
            <color indexed="81"/>
            <rFont val="細明體"/>
            <family val="3"/>
            <charset val="136"/>
          </rPr>
          <t>中文、英文、化學</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生物、中國文學、組合科學、數學、物理</t>
        </r>
      </text>
    </comment>
    <comment ref="T19" authorId="0" shapeId="0" xr:uid="{475F491A-D3E7-4108-BF63-E999CDCF561E}">
      <text>
        <r>
          <rPr>
            <sz val="9"/>
            <color indexed="81"/>
            <rFont val="Tahoma"/>
            <family val="2"/>
          </rPr>
          <t xml:space="preserve">One elective must be </t>
        </r>
        <r>
          <rPr>
            <b/>
            <sz val="9"/>
            <color indexed="81"/>
            <rFont val="Tahoma"/>
            <family val="2"/>
          </rPr>
          <t>Chemistry.</t>
        </r>
      </text>
    </comment>
    <comment ref="E20" authorId="1" shapeId="0" xr:uid="{5BFB9112-68D0-4B80-8336-342EDA9852EF}">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所有科目</t>
        </r>
        <r>
          <rPr>
            <b/>
            <sz val="9"/>
            <color indexed="81"/>
            <rFont val="Tahoma"/>
            <family val="2"/>
          </rPr>
          <t xml:space="preserve"> x1
</t>
        </r>
      </text>
    </comment>
    <comment ref="T20" authorId="1" shapeId="0" xr:uid="{E96676C3-43EF-4098-AF86-4B0C3A679CE2}">
      <text>
        <r>
          <rPr>
            <sz val="9"/>
            <color indexed="81"/>
            <rFont val="Tahoma"/>
            <family val="2"/>
          </rPr>
          <t>High choice banding in JUPAS application is preferred. 
Good results in</t>
        </r>
        <r>
          <rPr>
            <b/>
            <sz val="9"/>
            <color indexed="81"/>
            <rFont val="Tahoma"/>
            <family val="2"/>
          </rPr>
          <t xml:space="preserve"> science-related elective subjects</t>
        </r>
        <r>
          <rPr>
            <sz val="9"/>
            <color indexed="81"/>
            <rFont val="Tahoma"/>
            <family val="2"/>
          </rPr>
          <t xml:space="preserve"> is preferred.</t>
        </r>
      </text>
    </comment>
    <comment ref="E21" authorId="1" shapeId="0" xr:uid="{26F9E7D1-0BB9-43D3-A61A-68D069A028C1}">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英文</t>
        </r>
        <r>
          <rPr>
            <b/>
            <sz val="9"/>
            <color indexed="81"/>
            <rFont val="Tahoma"/>
            <family val="2"/>
          </rPr>
          <t xml:space="preserve"> x2</t>
        </r>
      </text>
    </comment>
    <comment ref="C22" authorId="1" shapeId="0" xr:uid="{F4F2B38E-AA27-41A4-93A1-A9A0DDE3A3FE}">
      <text>
        <r>
          <rPr>
            <sz val="9"/>
            <color indexed="81"/>
            <rFont val="Tahoma"/>
            <family val="2"/>
          </rPr>
          <t>High choice banding in JUPAS application is preferred.</t>
        </r>
      </text>
    </comment>
    <comment ref="E22" authorId="1" shapeId="0" xr:uid="{F94328B1-CAD5-4B55-AF78-EE5B1327C82F}">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E23" authorId="1" shapeId="0" xr:uid="{F141D8F4-EA59-42D6-AE31-A3E0FB11D65A}">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英文</t>
        </r>
        <r>
          <rPr>
            <b/>
            <sz val="9"/>
            <color indexed="81"/>
            <rFont val="Tahoma"/>
            <family val="2"/>
          </rPr>
          <t xml:space="preserve"> x1.2</t>
        </r>
      </text>
    </comment>
    <comment ref="N23" authorId="1" shapeId="0" xr:uid="{56AC15E9-A38C-4A76-BADC-062F2F383D56}">
      <text>
        <r>
          <rPr>
            <sz val="9"/>
            <color indexed="81"/>
            <rFont val="Tahoma"/>
            <family val="2"/>
          </rPr>
          <t xml:space="preserve">Other qualifications in French will be considered
</t>
        </r>
      </text>
    </comment>
    <comment ref="E24" authorId="1" shapeId="0" xr:uid="{7586B6CF-92D4-4D3B-BFAA-B9EB2627715D}">
      <text>
        <r>
          <rPr>
            <b/>
            <sz val="9"/>
            <color indexed="81"/>
            <rFont val="Tahoma"/>
            <family val="2"/>
          </rPr>
          <t>2020</t>
        </r>
        <r>
          <rPr>
            <b/>
            <sz val="9"/>
            <color indexed="81"/>
            <rFont val="細明體"/>
            <family val="3"/>
            <charset val="136"/>
          </rPr>
          <t>年會以</t>
        </r>
        <r>
          <rPr>
            <b/>
            <sz val="9"/>
            <color indexed="81"/>
            <rFont val="Tahoma"/>
            <family val="2"/>
          </rPr>
          <t xml:space="preserve"> Best 5 </t>
        </r>
        <r>
          <rPr>
            <b/>
            <sz val="9"/>
            <color indexed="81"/>
            <rFont val="細明體"/>
            <family val="3"/>
            <charset val="136"/>
          </rPr>
          <t xml:space="preserve">收生
</t>
        </r>
        <r>
          <rPr>
            <b/>
            <sz val="9"/>
            <color indexed="81"/>
            <rFont val="Tahoma"/>
            <family val="2"/>
          </rPr>
          <t>(</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英文</t>
        </r>
        <r>
          <rPr>
            <b/>
            <sz val="9"/>
            <color indexed="81"/>
            <rFont val="Tahoma"/>
            <family val="2"/>
          </rPr>
          <t xml:space="preserve"> x1.2</t>
        </r>
      </text>
    </comment>
    <comment ref="N24" authorId="1" shapeId="0" xr:uid="{882BED19-4F48-466F-B8C4-E0258074C4E9}">
      <text>
        <r>
          <rPr>
            <sz val="9"/>
            <color indexed="81"/>
            <rFont val="Tahoma"/>
            <family val="2"/>
          </rPr>
          <t xml:space="preserve">Other qualifications in German will be considered.
</t>
        </r>
      </text>
    </comment>
    <comment ref="C25" authorId="1" shapeId="0" xr:uid="{A5D3B713-1E8F-4300-A292-19A40FC5AB8E}">
      <text>
        <r>
          <rPr>
            <sz val="9"/>
            <color indexed="81"/>
            <rFont val="Tahoma"/>
            <family val="2"/>
          </rPr>
          <t xml:space="preserve">High choice banding in JUPAS application is preferred.
</t>
        </r>
      </text>
    </comment>
    <comment ref="E25" authorId="1" shapeId="0" xr:uid="{549F24C5-2448-4AA2-923C-6F57BCF037C1}">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英文</t>
        </r>
        <r>
          <rPr>
            <b/>
            <sz val="9"/>
            <color indexed="81"/>
            <rFont val="Tahoma"/>
            <family val="2"/>
          </rPr>
          <t xml:space="preserve"> x2</t>
        </r>
        <r>
          <rPr>
            <b/>
            <sz val="9"/>
            <color indexed="81"/>
            <rFont val="細明體"/>
            <family val="3"/>
            <charset val="136"/>
          </rPr>
          <t>、通識</t>
        </r>
        <r>
          <rPr>
            <b/>
            <sz val="9"/>
            <color indexed="81"/>
            <rFont val="Tahoma"/>
            <family val="2"/>
          </rPr>
          <t xml:space="preserve"> x1.5</t>
        </r>
      </text>
    </comment>
    <comment ref="C26" authorId="1" shapeId="0" xr:uid="{60339A2A-9AD1-42E8-88B2-1A3B582B2473}">
      <text>
        <r>
          <rPr>
            <sz val="9"/>
            <color indexed="81"/>
            <rFont val="Tahoma"/>
            <family val="2"/>
          </rPr>
          <t xml:space="preserve">Candidates may be required to attend an interview. </t>
        </r>
      </text>
    </comment>
    <comment ref="E26" authorId="1" shapeId="0" xr:uid="{A31766AB-C0A8-4138-AD65-862AE398D5D9}">
      <text>
        <r>
          <rPr>
            <b/>
            <sz val="9"/>
            <color indexed="81"/>
            <rFont val="Tahoma"/>
            <family val="2"/>
          </rPr>
          <t>2020</t>
        </r>
        <r>
          <rPr>
            <b/>
            <sz val="9"/>
            <color indexed="81"/>
            <rFont val="細明體"/>
            <family val="3"/>
            <charset val="136"/>
          </rPr>
          <t>年新科目
中文、英文</t>
        </r>
        <r>
          <rPr>
            <b/>
            <sz val="9"/>
            <color indexed="81"/>
            <rFont val="Tahoma"/>
            <family val="2"/>
          </rPr>
          <t xml:space="preserve"> x1.5</t>
        </r>
      </text>
    </comment>
    <comment ref="P26" authorId="1" shapeId="0" xr:uid="{F4CD3A65-1E38-45F8-987D-BBE6418D7B4B}">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Q26" authorId="1" shapeId="0" xr:uid="{30C7A7AA-4F8C-4BDD-B2D8-1BA82204F8D0}">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E27" authorId="1" shapeId="0" xr:uid="{739F8A0D-C820-4FE0-BB80-0136F24FD418}">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收生
所有科目</t>
        </r>
        <r>
          <rPr>
            <b/>
            <sz val="9"/>
            <color indexed="81"/>
            <rFont val="Tahoma"/>
            <family val="2"/>
          </rPr>
          <t xml:space="preserve"> x1</t>
        </r>
      </text>
    </comment>
    <comment ref="E28" authorId="1" shapeId="0" xr:uid="{2C9A2D41-7C83-411C-A0AC-4062F4312074}">
      <text>
        <r>
          <rPr>
            <b/>
            <sz val="9"/>
            <color indexed="81"/>
            <rFont val="Tahoma"/>
            <family val="2"/>
          </rPr>
          <t>2020</t>
        </r>
        <r>
          <rPr>
            <b/>
            <sz val="9"/>
            <color indexed="81"/>
            <rFont val="細明體"/>
            <family val="3"/>
            <charset val="136"/>
          </rPr>
          <t>年會以</t>
        </r>
        <r>
          <rPr>
            <b/>
            <sz val="9"/>
            <color indexed="81"/>
            <rFont val="Tahoma"/>
            <family val="2"/>
          </rPr>
          <t xml:space="preserve"> 4C2X </t>
        </r>
        <r>
          <rPr>
            <b/>
            <sz val="9"/>
            <color indexed="81"/>
            <rFont val="細明體"/>
            <family val="3"/>
            <charset val="136"/>
          </rPr>
          <t xml:space="preserve">收生
</t>
        </r>
        <r>
          <rPr>
            <b/>
            <sz val="9"/>
            <color indexed="81"/>
            <rFont val="Tahoma"/>
            <family val="2"/>
          </rPr>
          <t xml:space="preserve">x1.2: </t>
        </r>
        <r>
          <rPr>
            <sz val="9"/>
            <color indexed="81"/>
            <rFont val="細明體"/>
            <family val="3"/>
            <charset val="136"/>
          </rPr>
          <t>中國歷史、經濟、倫理及宗教科、地理、歷史、旅遊及款待</t>
        </r>
      </text>
    </comment>
    <comment ref="C29" authorId="1" shapeId="0" xr:uid="{5E5F6757-ACBC-4567-BAAB-E704AADFF7F8}">
      <text>
        <r>
          <rPr>
            <sz val="9"/>
            <color indexed="81"/>
            <rFont val="Tahoma"/>
            <family val="2"/>
          </rPr>
          <t>Candidates are required to submit a portfolio for assessment. Shortlisted candidates are required to attend practical tests and an interview. Interview performance will be specially considered. For portfolio submission guidelines, assessment details as well as schedules, please visit: https://ava.hkbu.edu.hk/en/bachelor/admission/admission-ex/2
High choice banding in JUPAS application is preferred.</t>
        </r>
      </text>
    </comment>
    <comment ref="E29" authorId="1" shapeId="0" xr:uid="{D7F7CDBE-E30C-4586-85F8-5DA7B5DDEF31}">
      <text>
        <r>
          <rPr>
            <b/>
            <sz val="9"/>
            <color indexed="81"/>
            <rFont val="Tahoma"/>
            <family val="2"/>
          </rPr>
          <t>Best 5 (</t>
        </r>
        <r>
          <rPr>
            <b/>
            <sz val="9"/>
            <color indexed="81"/>
            <rFont val="細明體"/>
            <family val="3"/>
            <charset val="136"/>
          </rPr>
          <t>包括英文</t>
        </r>
        <r>
          <rPr>
            <b/>
            <sz val="9"/>
            <color indexed="81"/>
            <rFont val="Tahoma"/>
            <family val="2"/>
          </rPr>
          <t>)</t>
        </r>
        <r>
          <rPr>
            <b/>
            <sz val="9"/>
            <color indexed="81"/>
            <rFont val="細明體"/>
            <family val="3"/>
            <charset val="136"/>
          </rPr>
          <t xml:space="preserve">
所有科目</t>
        </r>
        <r>
          <rPr>
            <b/>
            <sz val="9"/>
            <color indexed="81"/>
            <rFont val="Tahoma"/>
            <family val="2"/>
          </rPr>
          <t xml:space="preserve"> x1</t>
        </r>
        <r>
          <rPr>
            <sz val="9"/>
            <color indexed="81"/>
            <rFont val="Tahoma"/>
            <family val="2"/>
          </rPr>
          <t xml:space="preserve">
</t>
        </r>
      </text>
    </comment>
    <comment ref="N29" authorId="1" shapeId="0" xr:uid="{151459D4-8C73-48B4-B8A7-076196BF3D83}">
      <text>
        <r>
          <rPr>
            <sz val="9"/>
            <color indexed="81"/>
            <rFont val="Tahoma"/>
            <family val="2"/>
          </rPr>
          <t xml:space="preserve">Candidates are required to submit a portfolio for assessment. Shortlisted candidates are required to attend practical tests and an interview. Interview performance will be specially considered.
</t>
        </r>
      </text>
    </comment>
    <comment ref="C30" authorId="1" shapeId="0" xr:uid="{30ADD7D5-0DB8-4D9E-8276-B2CCBF8C2A1E}">
      <text>
        <r>
          <rPr>
            <sz val="9"/>
            <color indexed="81"/>
            <rFont val="Tahoma"/>
            <family val="2"/>
          </rPr>
          <t xml:space="preserve">Shortlisted applicants may be invited to attend interivew.
</t>
        </r>
      </text>
    </comment>
    <comment ref="E30" authorId="1" shapeId="0" xr:uid="{15FA6768-9EBB-44B7-AA7C-0B152079176F}">
      <text>
        <r>
          <rPr>
            <b/>
            <sz val="9"/>
            <color indexed="81"/>
            <rFont val="Tahoma"/>
            <family val="2"/>
          </rPr>
          <t>2020</t>
        </r>
        <r>
          <rPr>
            <b/>
            <sz val="9"/>
            <color indexed="81"/>
            <rFont val="細明體"/>
            <family val="3"/>
            <charset val="136"/>
          </rPr>
          <t>年會以</t>
        </r>
        <r>
          <rPr>
            <b/>
            <sz val="9"/>
            <color indexed="81"/>
            <rFont val="Tahoma"/>
            <family val="2"/>
          </rPr>
          <t xml:space="preserve"> Best 6 </t>
        </r>
        <r>
          <rPr>
            <b/>
            <sz val="9"/>
            <color indexed="81"/>
            <rFont val="細明體"/>
            <family val="3"/>
            <charset val="136"/>
          </rPr>
          <t>收生
所有科目</t>
        </r>
        <r>
          <rPr>
            <b/>
            <sz val="9"/>
            <color indexed="81"/>
            <rFont val="Tahoma"/>
            <family val="2"/>
          </rPr>
          <t xml:space="preserve"> x1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author>
    <author>Michael Chan</author>
  </authors>
  <commentList>
    <comment ref="L1" authorId="0" shapeId="0" xr:uid="{64267C3B-3E31-46FA-B33B-A161E18DAB90}">
      <text>
        <r>
          <rPr>
            <b/>
            <sz val="9"/>
            <color indexed="81"/>
            <rFont val="Tahoma"/>
            <family val="2"/>
          </rPr>
          <t>2019</t>
        </r>
        <r>
          <rPr>
            <b/>
            <sz val="9"/>
            <color indexed="81"/>
            <rFont val="細明體"/>
            <family val="3"/>
            <charset val="136"/>
          </rPr>
          <t>年</t>
        </r>
        <r>
          <rPr>
            <b/>
            <sz val="9"/>
            <color indexed="81"/>
            <rFont val="Tahoma"/>
            <family val="2"/>
          </rPr>
          <t xml:space="preserve"> Band A
</t>
        </r>
        <r>
          <rPr>
            <b/>
            <sz val="9"/>
            <color indexed="81"/>
            <rFont val="細明體"/>
            <family val="3"/>
            <charset val="136"/>
          </rPr>
          <t>收生人數</t>
        </r>
        <r>
          <rPr>
            <sz val="9"/>
            <color indexed="81"/>
            <rFont val="Tahoma"/>
            <family val="2"/>
          </rPr>
          <t xml:space="preserve">
</t>
        </r>
      </text>
    </comment>
    <comment ref="E2" authorId="1" shapeId="0" xr:uid="{784359F3-329B-4114-9516-89994B47C0A6}">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E3" authorId="1" shapeId="0" xr:uid="{0EDF3950-5D54-4138-9FD7-A42D57FB9484}">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 xml:space="preserve">、物理、化學、生物、組合科學
</t>
        </r>
      </text>
    </comment>
    <comment ref="E4" authorId="1" shapeId="0" xr:uid="{01114B2A-2AD1-4DC7-B960-0F202BB8A044}">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E5" authorId="1" shapeId="0" xr:uid="{B16C512D-4D03-4C97-B167-F75B8384B303}">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
</t>
        </r>
      </text>
    </comment>
    <comment ref="E6" authorId="1" shapeId="0" xr:uid="{AC80DDC9-9E61-4224-AABF-E3252E11AF11}">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7" authorId="1" shapeId="0" xr:uid="{E8BA2FEA-97C7-4E92-88AE-6FDB6AB950B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E8" authorId="1" shapeId="0" xr:uid="{B89BD361-B8A1-4A4C-86EB-8749B45A93B4}">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9" authorId="1" shapeId="0" xr:uid="{3437B720-B85A-43D7-BA02-3F9C7D4447D8}">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、生物、化學、組合科學</t>
        </r>
        <r>
          <rPr>
            <sz val="9"/>
            <color indexed="81"/>
            <rFont val="Tahoma"/>
            <family val="2"/>
          </rPr>
          <t>(</t>
        </r>
        <r>
          <rPr>
            <sz val="9"/>
            <color indexed="81"/>
            <rFont val="細明體"/>
            <family val="3"/>
            <charset val="136"/>
          </rPr>
          <t>生物、化學</t>
        </r>
        <r>
          <rPr>
            <sz val="9"/>
            <color indexed="81"/>
            <rFont val="Tahoma"/>
            <family val="2"/>
          </rPr>
          <t xml:space="preserve">)
</t>
        </r>
      </text>
    </comment>
    <comment ref="E10" authorId="1" shapeId="0" xr:uid="{2B616E2A-F194-4E7B-84DD-30E401501DE1}">
      <text>
        <r>
          <rPr>
            <b/>
            <sz val="9"/>
            <color indexed="81"/>
            <rFont val="細明體"/>
            <family val="3"/>
            <charset val="136"/>
          </rPr>
          <t>最高比重</t>
        </r>
        <r>
          <rPr>
            <b/>
            <sz val="9"/>
            <color indexed="81"/>
            <rFont val="Tahoma"/>
            <family val="2"/>
          </rPr>
          <t xml:space="preserve">:
</t>
        </r>
        <r>
          <rPr>
            <sz val="9"/>
            <color indexed="81"/>
            <rFont val="細明體"/>
            <family val="3"/>
            <charset val="136"/>
          </rPr>
          <t>英文、化學、組合科學</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t>
        </r>
        <r>
          <rPr>
            <sz val="9"/>
            <color indexed="81"/>
            <rFont val="Tahoma"/>
            <family val="2"/>
          </rPr>
          <t>DAT</t>
        </r>
        <r>
          <rPr>
            <sz val="9"/>
            <color indexed="81"/>
            <rFont val="細明體"/>
            <family val="3"/>
            <charset val="136"/>
          </rPr>
          <t xml:space="preserve">、視藝藝術
</t>
        </r>
        <r>
          <rPr>
            <sz val="9"/>
            <color indexed="81"/>
            <rFont val="Tahoma"/>
            <family val="2"/>
          </rPr>
          <t xml:space="preserve">
</t>
        </r>
      </text>
    </comment>
    <comment ref="E11" authorId="1" shapeId="0" xr:uid="{DACA7F00-20FA-433F-9B3C-643116BBF4D8}">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E12" authorId="1" shapeId="0" xr:uid="{E8CE819E-D9D7-4CD8-A236-DAC888FA8F0A}">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E13" authorId="1" shapeId="0" xr:uid="{8C1DAF0E-2EC9-412E-8568-B2E1D5AFD1A9}">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14" authorId="1" shapeId="0" xr:uid="{504033DE-037F-41AB-B872-EEF9D8CA40FB}">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15" authorId="1" shapeId="0" xr:uid="{79A0FDDD-2775-4A37-AD4E-104F82CE6B7D}">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t>
        </r>
        <r>
          <rPr>
            <sz val="9"/>
            <color indexed="81"/>
            <rFont val="Tahoma"/>
            <family val="2"/>
          </rPr>
          <t>DAT</t>
        </r>
        <r>
          <rPr>
            <sz val="9"/>
            <color indexed="81"/>
            <rFont val="細明體"/>
            <family val="3"/>
            <charset val="136"/>
          </rPr>
          <t>、視覺藝術</t>
        </r>
        <r>
          <rPr>
            <sz val="9"/>
            <color indexed="81"/>
            <rFont val="Tahoma"/>
            <family val="2"/>
          </rPr>
          <t xml:space="preserve">
</t>
        </r>
      </text>
    </comment>
    <comment ref="E16" authorId="1" shapeId="0" xr:uid="{453F49D7-72E5-4C39-A619-89A94F7AD8E1}">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17" authorId="1" shapeId="0" xr:uid="{00D96805-B3C3-4233-A9F5-6AF2490AC902}">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18" authorId="1" shapeId="0" xr:uid="{20EEEBAF-8DEE-48C2-BE94-1F13C10A00D1}">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19" authorId="1" shapeId="0" xr:uid="{2419C49C-EB8C-4FEC-99AE-0443F25F40DF}">
      <text>
        <r>
          <rPr>
            <b/>
            <sz val="9"/>
            <color indexed="81"/>
            <rFont val="細明體"/>
            <family val="3"/>
            <charset val="136"/>
          </rPr>
          <t>最高比重</t>
        </r>
        <r>
          <rPr>
            <b/>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、生物、化學、物理、組合科學</t>
        </r>
        <r>
          <rPr>
            <sz val="9"/>
            <color indexed="81"/>
            <rFont val="Tahoma"/>
            <family val="2"/>
          </rPr>
          <t xml:space="preserve">
</t>
        </r>
      </text>
    </comment>
    <comment ref="E20" authorId="1" shapeId="0" xr:uid="{F8F073B9-3E2D-41A5-8C08-8C2A12ED14B2}">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中文、英文、數學、生物、化學、物理、組合科學</t>
        </r>
        <r>
          <rPr>
            <sz val="9"/>
            <color indexed="81"/>
            <rFont val="Tahoma"/>
            <family val="2"/>
          </rPr>
          <t xml:space="preserve">
</t>
        </r>
      </text>
    </comment>
    <comment ref="E21" authorId="1" shapeId="0" xr:uid="{53FCBBC1-C217-463F-8003-0CFC38C725DF}">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r>
          <rPr>
            <sz val="9"/>
            <color indexed="81"/>
            <rFont val="Tahoma"/>
            <family val="2"/>
          </rPr>
          <t xml:space="preserve">
</t>
        </r>
      </text>
    </comment>
    <comment ref="E22" authorId="1" shapeId="0" xr:uid="{96FA9AD5-B3F9-4F03-B203-FFA0A58CDE22}">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r>
          <rPr>
            <sz val="9"/>
            <color indexed="81"/>
            <rFont val="Tahoma"/>
            <family val="2"/>
          </rPr>
          <t>(</t>
        </r>
        <r>
          <rPr>
            <sz val="9"/>
            <color indexed="81"/>
            <rFont val="細明體"/>
            <family val="3"/>
            <charset val="136"/>
          </rPr>
          <t>生物、物理</t>
        </r>
        <r>
          <rPr>
            <sz val="9"/>
            <color indexed="81"/>
            <rFont val="Tahoma"/>
            <family val="2"/>
          </rPr>
          <t>)</t>
        </r>
      </text>
    </comment>
    <comment ref="E23" authorId="1" shapeId="0" xr:uid="{334B90AE-123B-43A5-ACDC-91BDFB104914}">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E24" authorId="1" shapeId="0" xr:uid="{4BA9DF3E-F1B6-45E7-86BA-479F0FC09F41}">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text>
    </comment>
    <comment ref="E26" authorId="1" shapeId="0" xr:uid="{010CA46C-2229-43BB-AA4D-A8E86173AC5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27" authorId="1" shapeId="0" xr:uid="{B6F63761-E30C-41F2-853A-19903BEF751D}">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E28" authorId="1" shapeId="0" xr:uid="{F5D4B8A6-2AA4-4E77-895A-FDD918F9FE8B}">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E29" authorId="1" shapeId="0" xr:uid="{7930704F-C25A-4944-86B7-DF883052D8DE}">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E30" authorId="1" shapeId="0" xr:uid="{5B615D1A-4C57-4BA6-A9A1-C678DA455019}">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E31" authorId="1" shapeId="0" xr:uid="{350ABB14-FA4B-4F98-AC9A-16032354139E}">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英文、數學、物理、組合科學</t>
        </r>
        <r>
          <rPr>
            <sz val="9"/>
            <color indexed="81"/>
            <rFont val="Tahoma"/>
            <family val="2"/>
          </rPr>
          <t>(</t>
        </r>
        <r>
          <rPr>
            <sz val="9"/>
            <color indexed="81"/>
            <rFont val="細明體"/>
            <family val="3"/>
            <charset val="136"/>
          </rPr>
          <t>物理</t>
        </r>
        <r>
          <rPr>
            <sz val="9"/>
            <color indexed="81"/>
            <rFont val="Tahoma"/>
            <family val="2"/>
          </rPr>
          <t xml:space="preserve">)
</t>
        </r>
      </text>
    </comment>
    <comment ref="E33" authorId="1" shapeId="0" xr:uid="{34B56578-7DD7-4DBE-AE2F-568FA0B88252}">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E34" authorId="1" shapeId="0" xr:uid="{99133CA1-F443-4423-A5E5-6E4477526437}">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E35" authorId="1" shapeId="0" xr:uid="{77433D2F-AD8C-43AE-BD6C-699740D168E6}">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E36" authorId="1" shapeId="0" xr:uid="{EE140F42-75A6-4412-9829-406D7D3E8416}">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37" authorId="1" shapeId="0" xr:uid="{224361EB-EA00-41F1-96C6-5A62665BB09C}">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r>
          <rPr>
            <sz val="9"/>
            <color indexed="81"/>
            <rFont val="Tahoma"/>
            <family val="2"/>
          </rPr>
          <t xml:space="preserve">
</t>
        </r>
      </text>
    </comment>
    <comment ref="F37" authorId="1" shapeId="0" xr:uid="{BCCF33DC-1223-4B88-BFCE-9971B7F81BF4}">
      <text>
        <r>
          <rPr>
            <b/>
            <sz val="9"/>
            <color indexed="81"/>
            <rFont val="Tahoma"/>
            <family val="2"/>
          </rPr>
          <t>(from JS3480)</t>
        </r>
        <r>
          <rPr>
            <sz val="9"/>
            <color indexed="81"/>
            <rFont val="Tahoma"/>
            <family val="2"/>
          </rPr>
          <t xml:space="preserve">
</t>
        </r>
      </text>
    </comment>
    <comment ref="G37" authorId="1" shapeId="0" xr:uid="{391F065B-CD84-45CF-8C7E-9A0BBE8ED4F6}">
      <text>
        <r>
          <rPr>
            <b/>
            <sz val="9"/>
            <color indexed="81"/>
            <rFont val="Tahoma"/>
            <family val="2"/>
          </rPr>
          <t>(from JS3480)</t>
        </r>
        <r>
          <rPr>
            <sz val="9"/>
            <color indexed="81"/>
            <rFont val="Tahoma"/>
            <family val="2"/>
          </rPr>
          <t xml:space="preserve">
</t>
        </r>
      </text>
    </comment>
    <comment ref="E38" authorId="1" shapeId="0" xr:uid="{A29D46C5-286C-46B8-8EEB-E2E578E899F4}">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E39" authorId="1" shapeId="0" xr:uid="{D5D0464A-3E22-4D5F-BA6D-4EF479A365A5}">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r>
          <rPr>
            <sz val="9"/>
            <color indexed="81"/>
            <rFont val="Tahoma"/>
            <family val="2"/>
          </rPr>
          <t xml:space="preserve">
</t>
        </r>
      </text>
    </comment>
    <comment ref="F39" authorId="1" shapeId="0" xr:uid="{90F2C619-B4C8-4928-9EE1-059C7DE986FC}">
      <text>
        <r>
          <rPr>
            <b/>
            <sz val="9"/>
            <color indexed="81"/>
            <rFont val="Tahoma"/>
            <family val="2"/>
          </rPr>
          <t>(from JS3480)</t>
        </r>
        <r>
          <rPr>
            <sz val="9"/>
            <color indexed="81"/>
            <rFont val="Tahoma"/>
            <family val="2"/>
          </rPr>
          <t xml:space="preserve">
</t>
        </r>
      </text>
    </comment>
    <comment ref="G39" authorId="1" shapeId="0" xr:uid="{4F4435B0-2BC1-4D57-A6F1-2FDA54639C83}">
      <text>
        <r>
          <rPr>
            <b/>
            <sz val="9"/>
            <color indexed="81"/>
            <rFont val="Tahoma"/>
            <family val="2"/>
          </rPr>
          <t>(from JS3480)</t>
        </r>
        <r>
          <rPr>
            <sz val="9"/>
            <color indexed="81"/>
            <rFont val="Tahoma"/>
            <family val="2"/>
          </rPr>
          <t xml:space="preserve">
</t>
        </r>
      </text>
    </comment>
    <comment ref="E40" authorId="1" shapeId="0" xr:uid="{3041F899-0DC2-4291-901E-AF1DE525EADA}">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t>
        </r>
        <r>
          <rPr>
            <sz val="9"/>
            <color indexed="81"/>
            <rFont val="Tahoma"/>
            <family val="2"/>
          </rPr>
          <t>BAFS</t>
        </r>
        <r>
          <rPr>
            <sz val="9"/>
            <color indexed="81"/>
            <rFont val="細明體"/>
            <family val="3"/>
            <charset val="136"/>
          </rPr>
          <t>、組合科學、經濟、</t>
        </r>
        <r>
          <rPr>
            <sz val="9"/>
            <color indexed="81"/>
            <rFont val="Tahoma"/>
            <family val="2"/>
          </rPr>
          <t xml:space="preserve">ICT
</t>
        </r>
      </text>
    </comment>
    <comment ref="E41" authorId="1" shapeId="0" xr:uid="{13868A6C-C519-4A1A-8CCE-3F46C0DAFD8B}">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r>
          <rPr>
            <sz val="9"/>
            <color indexed="81"/>
            <rFont val="Tahoma"/>
            <family val="2"/>
          </rPr>
          <t xml:space="preserve">
</t>
        </r>
      </text>
    </comment>
    <comment ref="E42" authorId="1" shapeId="0" xr:uid="{1AA1497C-497D-49E6-B7FD-42DAB3B6BFA6}">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43" authorId="1" shapeId="0" xr:uid="{75E1978A-C6A7-4CCD-98E9-0D088FB12C3A}">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44" authorId="1" shapeId="0" xr:uid="{981BFD7B-7877-4056-B13F-B015919257C3}">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英文、數學、生物、組合科學</t>
        </r>
        <r>
          <rPr>
            <sz val="9"/>
            <color indexed="81"/>
            <rFont val="Tahoma"/>
            <family val="2"/>
          </rPr>
          <t>(</t>
        </r>
        <r>
          <rPr>
            <sz val="9"/>
            <color indexed="81"/>
            <rFont val="細明體"/>
            <family val="3"/>
            <charset val="136"/>
          </rPr>
          <t>生物</t>
        </r>
        <r>
          <rPr>
            <sz val="9"/>
            <color indexed="81"/>
            <rFont val="Tahoma"/>
            <family val="2"/>
          </rPr>
          <t xml:space="preserve">)
</t>
        </r>
      </text>
    </comment>
    <comment ref="E45" authorId="1" shapeId="0" xr:uid="{6D49B8CC-93C7-482E-9BC9-2A0EBFFCD447}">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E46" authorId="1" shapeId="0" xr:uid="{D14B7564-CE2B-4B5D-A226-E40EDB66A4D5}">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英文、數學、化學、組合科學</t>
        </r>
        <r>
          <rPr>
            <sz val="9"/>
            <color indexed="81"/>
            <rFont val="Tahoma"/>
            <family val="2"/>
          </rPr>
          <t>(</t>
        </r>
        <r>
          <rPr>
            <sz val="9"/>
            <color indexed="81"/>
            <rFont val="細明體"/>
            <family val="3"/>
            <charset val="136"/>
          </rPr>
          <t>化學</t>
        </r>
        <r>
          <rPr>
            <sz val="9"/>
            <color indexed="81"/>
            <rFont val="Tahoma"/>
            <family val="2"/>
          </rPr>
          <t xml:space="preserve">)
</t>
        </r>
      </text>
    </comment>
    <comment ref="E48" authorId="1" shapeId="0" xr:uid="{E5A29B9A-CF2D-4BA0-8A9B-269943644C7D}">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t>
        </r>
        <r>
          <rPr>
            <sz val="9"/>
            <color indexed="81"/>
            <rFont val="Tahoma"/>
            <family val="2"/>
          </rPr>
          <t xml:space="preserve">
</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E49" authorId="1" shapeId="0" xr:uid="{A4A9EC73-C63A-4021-8472-20190F419FDB}">
      <text>
        <r>
          <rPr>
            <b/>
            <sz val="9"/>
            <color indexed="81"/>
            <rFont val="細明體"/>
            <family val="3"/>
            <charset val="136"/>
          </rPr>
          <t>最高比重</t>
        </r>
        <r>
          <rPr>
            <b/>
            <sz val="9"/>
            <color indexed="81"/>
            <rFont val="Tahoma"/>
            <family val="2"/>
          </rPr>
          <t xml:space="preserve">:
</t>
        </r>
        <r>
          <rPr>
            <sz val="9"/>
            <color indexed="81"/>
            <rFont val="細明體"/>
            <family val="3"/>
            <charset val="136"/>
          </rPr>
          <t>數學、物理、組合科學</t>
        </r>
        <r>
          <rPr>
            <sz val="9"/>
            <color indexed="81"/>
            <rFont val="Tahoma"/>
            <family val="2"/>
          </rPr>
          <t>(</t>
        </r>
        <r>
          <rPr>
            <sz val="9"/>
            <color indexed="81"/>
            <rFont val="細明體"/>
            <family val="3"/>
            <charset val="136"/>
          </rPr>
          <t>物理</t>
        </r>
        <r>
          <rPr>
            <sz val="9"/>
            <color indexed="81"/>
            <rFont val="Tahoma"/>
            <family val="2"/>
          </rPr>
          <t>)</t>
        </r>
      </text>
    </comment>
    <comment ref="E51" authorId="1" shapeId="0" xr:uid="{490A5F22-80CB-4941-98A5-A848858281C8}">
      <text>
        <r>
          <rPr>
            <b/>
            <sz val="9"/>
            <color indexed="81"/>
            <rFont val="細明體"/>
            <family val="3"/>
            <charset val="136"/>
          </rPr>
          <t>最高比重</t>
        </r>
        <r>
          <rPr>
            <b/>
            <sz val="9"/>
            <color indexed="81"/>
            <rFont val="Tahoma"/>
            <family val="2"/>
          </rPr>
          <t xml:space="preserve">:
</t>
        </r>
        <r>
          <rPr>
            <sz val="9"/>
            <color indexed="81"/>
            <rFont val="細明體"/>
            <family val="3"/>
            <charset val="136"/>
          </rPr>
          <t>化學、組合科學</t>
        </r>
        <r>
          <rPr>
            <sz val="9"/>
            <color indexed="81"/>
            <rFont val="Tahoma"/>
            <family val="2"/>
          </rPr>
          <t>(</t>
        </r>
        <r>
          <rPr>
            <sz val="9"/>
            <color indexed="81"/>
            <rFont val="細明體"/>
            <family val="3"/>
            <charset val="136"/>
          </rPr>
          <t>化學</t>
        </r>
        <r>
          <rPr>
            <sz val="9"/>
            <color indexed="81"/>
            <rFont val="Tahoma"/>
            <family val="2"/>
          </rPr>
          <t xml:space="preserve">)
</t>
        </r>
      </text>
    </comment>
    <comment ref="E52" authorId="1" shapeId="0" xr:uid="{6FF69216-F7C6-4AB6-A74F-D606DC28C1EA}">
      <text>
        <r>
          <rPr>
            <b/>
            <sz val="9"/>
            <color indexed="81"/>
            <rFont val="細明體"/>
            <family val="3"/>
            <charset val="136"/>
          </rPr>
          <t>最高比重</t>
        </r>
        <r>
          <rPr>
            <b/>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E53" authorId="1" shapeId="0" xr:uid="{E99FDA13-AFF3-418B-A029-1360921D1B8D}">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E54" authorId="1" shapeId="0" xr:uid="{14448AB3-2B2C-45BE-B4BC-31D99DEF58FA}">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E56" authorId="1" shapeId="0" xr:uid="{B8D26C23-7DFC-4DB9-A23D-37BAAA320198}">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英文、數學、生物、化學、物理、組合科學、</t>
        </r>
        <r>
          <rPr>
            <sz val="9"/>
            <color indexed="81"/>
            <rFont val="Tahoma"/>
            <family val="2"/>
          </rPr>
          <t xml:space="preserve">ICT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Chan</author>
    <author>Michael</author>
  </authors>
  <commentList>
    <comment ref="J1" authorId="0" shapeId="0" xr:uid="{E7839314-82A1-4A35-B8DB-B9FC6B71F9AA}">
      <text>
        <r>
          <rPr>
            <b/>
            <sz val="9"/>
            <color indexed="81"/>
            <rFont val="細明體"/>
            <family val="3"/>
            <charset val="136"/>
          </rPr>
          <t xml:space="preserve">可選擇：
</t>
        </r>
        <r>
          <rPr>
            <b/>
            <sz val="9"/>
            <color indexed="81"/>
            <rFont val="Tahoma"/>
            <family val="2"/>
          </rPr>
          <t>UQ/Median/LQ</t>
        </r>
        <r>
          <rPr>
            <sz val="9"/>
            <color indexed="81"/>
            <rFont val="Tahoma"/>
            <family val="2"/>
          </rPr>
          <t xml:space="preserve">
</t>
        </r>
      </text>
    </comment>
    <comment ref="O1" authorId="1" shapeId="0" xr:uid="{87005753-03FD-49CA-9657-4E72C23A645E}">
      <text>
        <r>
          <rPr>
            <b/>
            <sz val="9"/>
            <color indexed="81"/>
            <rFont val="細明體"/>
            <family val="3"/>
            <charset val="136"/>
          </rPr>
          <t>入學要求</t>
        </r>
      </text>
    </comment>
    <comment ref="E3" authorId="0" shapeId="0" xr:uid="{43C060C3-CBDE-424D-B7CD-7911C1AE8B3D}">
      <text>
        <r>
          <rPr>
            <b/>
            <sz val="9"/>
            <color indexed="81"/>
            <rFont val="Tahoma"/>
            <family val="2"/>
          </rPr>
          <t>Chinese with heavier weighting
(</t>
        </r>
        <r>
          <rPr>
            <b/>
            <sz val="9"/>
            <color indexed="81"/>
            <rFont val="細明體"/>
            <family val="3"/>
            <charset val="136"/>
          </rPr>
          <t>此處作</t>
        </r>
        <r>
          <rPr>
            <b/>
            <sz val="9"/>
            <color indexed="81"/>
            <rFont val="Tahoma"/>
            <family val="2"/>
          </rPr>
          <t>x1.5)</t>
        </r>
      </text>
    </comment>
    <comment ref="C6" authorId="0" shapeId="0" xr:uid="{38015F8F-9654-4E32-A693-F8F0FE98F24A}">
      <text>
        <r>
          <rPr>
            <b/>
            <sz val="9"/>
            <color indexed="81"/>
            <rFont val="Tahoma"/>
            <family val="2"/>
          </rPr>
          <t>Literature in English is preferred.</t>
        </r>
      </text>
    </comment>
    <comment ref="E6" authorId="0" shapeId="0" xr:uid="{4A7C7987-632D-4BDB-85FB-9D4C29C2E16D}">
      <text>
        <r>
          <rPr>
            <b/>
            <sz val="9"/>
            <color indexed="81"/>
            <rFont val="Tahoma"/>
            <family val="2"/>
          </rPr>
          <t>English with heavier weighting
(</t>
        </r>
        <r>
          <rPr>
            <b/>
            <sz val="9"/>
            <color indexed="81"/>
            <rFont val="細明體"/>
            <family val="3"/>
            <charset val="136"/>
          </rPr>
          <t>此處作</t>
        </r>
        <r>
          <rPr>
            <b/>
            <sz val="9"/>
            <color indexed="81"/>
            <rFont val="Tahoma"/>
            <family val="2"/>
          </rPr>
          <t xml:space="preserve">x1.5)
</t>
        </r>
      </text>
    </comment>
    <comment ref="S6" authorId="0" shapeId="0" xr:uid="{526DBB3B-94A7-4494-8A58-0994585C9297}">
      <text>
        <r>
          <rPr>
            <b/>
            <sz val="9"/>
            <color indexed="81"/>
            <rFont val="Tahoma"/>
            <family val="2"/>
          </rPr>
          <t>Literature in English is preferred.</t>
        </r>
        <r>
          <rPr>
            <sz val="9"/>
            <color indexed="81"/>
            <rFont val="Tahoma"/>
            <family val="2"/>
          </rPr>
          <t xml:space="preserve">
</t>
        </r>
      </text>
    </comment>
    <comment ref="C7" authorId="0" shapeId="0" xr:uid="{48649F5F-9F49-41D0-B4D9-E28F2C775200}">
      <text>
        <r>
          <rPr>
            <b/>
            <sz val="9"/>
            <color indexed="81"/>
            <rFont val="Tahoma"/>
            <family val="2"/>
          </rPr>
          <t>Visual Arts is preferred.</t>
        </r>
      </text>
    </comment>
    <comment ref="S7" authorId="0" shapeId="0" xr:uid="{9A678C54-B852-4362-9B34-36485224766E}">
      <text>
        <r>
          <rPr>
            <b/>
            <sz val="9"/>
            <color indexed="81"/>
            <rFont val="Tahoma"/>
            <family val="2"/>
          </rPr>
          <t>Visual Arts in preferred.</t>
        </r>
      </text>
    </comment>
    <comment ref="M11" authorId="0" shapeId="0" xr:uid="{D169C46C-71E8-4259-8A05-0B4CF8223F87}">
      <text>
        <r>
          <rPr>
            <sz val="9"/>
            <color indexed="81"/>
            <rFont val="Tahoma"/>
            <family val="2"/>
          </rPr>
          <t xml:space="preserve">Applicants should have attained a level of proficiency in their main instrument/ voice at or above </t>
        </r>
        <r>
          <rPr>
            <b/>
            <sz val="9"/>
            <color indexed="81"/>
            <rFont val="Tahoma"/>
            <family val="2"/>
          </rPr>
          <t>Grade 8 (ABRSM/ Trinity College)</t>
        </r>
        <r>
          <rPr>
            <sz val="9"/>
            <color indexed="81"/>
            <rFont val="Tahoma"/>
            <family val="2"/>
          </rPr>
          <t>.</t>
        </r>
      </text>
    </comment>
    <comment ref="S11" authorId="0" shapeId="0" xr:uid="{B45BE902-D8D6-48E9-92AE-DE6DCC6D7861}">
      <text>
        <r>
          <rPr>
            <b/>
            <sz val="9"/>
            <color indexed="81"/>
            <rFont val="Tahoma"/>
            <family val="2"/>
          </rPr>
          <t xml:space="preserve">Music is preferred
</t>
        </r>
        <r>
          <rPr>
            <sz val="9"/>
            <color indexed="81"/>
            <rFont val="Tahoma"/>
            <family val="2"/>
          </rPr>
          <t xml:space="preserve">
</t>
        </r>
      </text>
    </comment>
    <comment ref="E12" authorId="0" shapeId="0" xr:uid="{491DD5F8-DB79-4895-9FAC-BF8042B4098E}">
      <text>
        <r>
          <rPr>
            <b/>
            <sz val="9"/>
            <color indexed="81"/>
            <rFont val="Tahoma"/>
            <family val="2"/>
          </rPr>
          <t>English and Chinese must be included</t>
        </r>
      </text>
    </comment>
    <comment ref="L13" authorId="0" shapeId="0" xr:uid="{1509717D-2466-466E-BA99-9C8CBE14AFF1}">
      <text>
        <r>
          <rPr>
            <b/>
            <sz val="9"/>
            <color indexed="81"/>
            <rFont val="Tahoma"/>
            <family val="2"/>
          </rPr>
          <t xml:space="preserve">Combined figure </t>
        </r>
        <r>
          <rPr>
            <sz val="9"/>
            <color indexed="81"/>
            <rFont val="Tahoma"/>
            <family val="2"/>
          </rPr>
          <t xml:space="preserve">for programmes JS4109 &amp; JS4111
</t>
        </r>
      </text>
    </comment>
    <comment ref="M14" authorId="0" shapeId="0" xr:uid="{7EECC7EB-458C-44A3-ACD9-E36ABE203ADD}">
      <text>
        <r>
          <rPr>
            <sz val="9"/>
            <color indexed="81"/>
            <rFont val="Tahoma"/>
            <family val="2"/>
          </rPr>
          <t xml:space="preserve">Due to the small number of JUPAS applicants admitted in the 2019 entry, </t>
        </r>
        <r>
          <rPr>
            <b/>
            <sz val="9"/>
            <color indexed="81"/>
            <rFont val="Tahoma"/>
            <family val="2"/>
          </rPr>
          <t>admission figures are not included</t>
        </r>
        <r>
          <rPr>
            <sz val="9"/>
            <color indexed="81"/>
            <rFont val="Tahoma"/>
            <family val="2"/>
          </rPr>
          <t xml:space="preserve"> in order to protect the personal data privacy of individual students.
</t>
        </r>
      </text>
    </comment>
    <comment ref="C16" authorId="0" shapeId="0" xr:uid="{E04B29AE-3F53-4468-B1AC-A3FA638C7130}">
      <text>
        <r>
          <rPr>
            <b/>
            <sz val="9"/>
            <color indexed="81"/>
            <rFont val="Tahoma"/>
            <family val="2"/>
          </rPr>
          <t>English Language at Level 4 or above is preferred</t>
        </r>
        <r>
          <rPr>
            <sz val="9"/>
            <color indexed="81"/>
            <rFont val="Tahoma"/>
            <family val="2"/>
          </rPr>
          <t xml:space="preserve">
</t>
        </r>
      </text>
    </comment>
    <comment ref="P16" authorId="1" shapeId="0" xr:uid="{F8D433B6-08B6-4778-B2B5-E2225E153FF8}">
      <text>
        <r>
          <rPr>
            <b/>
            <sz val="9"/>
            <color indexed="81"/>
            <rFont val="Tahoma"/>
            <family val="2"/>
          </rPr>
          <t>English Language</t>
        </r>
        <r>
          <rPr>
            <sz val="9"/>
            <color indexed="81"/>
            <rFont val="Tahoma"/>
            <family val="2"/>
          </rPr>
          <t xml:space="preserve"> at </t>
        </r>
        <r>
          <rPr>
            <b/>
            <sz val="9"/>
            <color indexed="81"/>
            <rFont val="Tahoma"/>
            <family val="2"/>
          </rPr>
          <t>Level 4</t>
        </r>
        <r>
          <rPr>
            <sz val="9"/>
            <color indexed="81"/>
            <rFont val="Tahoma"/>
            <family val="2"/>
          </rPr>
          <t xml:space="preserve"> or above is preferred</t>
        </r>
        <r>
          <rPr>
            <sz val="8"/>
            <color indexed="81"/>
            <rFont val="Tahoma"/>
            <family val="2"/>
          </rPr>
          <t xml:space="preserve">
</t>
        </r>
      </text>
    </comment>
    <comment ref="M18" authorId="0" shapeId="0" xr:uid="{159D134F-059D-44A5-9BF0-A25C0898B1FA}">
      <text>
        <r>
          <rPr>
            <sz val="9"/>
            <color indexed="81"/>
            <rFont val="Tahoma"/>
            <family val="2"/>
          </rPr>
          <t xml:space="preserve">A minimum </t>
        </r>
        <r>
          <rPr>
            <b/>
            <sz val="9"/>
            <color indexed="81"/>
            <rFont val="Tahoma"/>
            <family val="2"/>
          </rPr>
          <t>TOEFL score of 600</t>
        </r>
        <r>
          <rPr>
            <sz val="9"/>
            <color indexed="81"/>
            <rFont val="Tahoma"/>
            <family val="2"/>
          </rPr>
          <t xml:space="preserve"> </t>
        </r>
        <r>
          <rPr>
            <b/>
            <sz val="9"/>
            <color indexed="81"/>
            <rFont val="Tahoma"/>
            <family val="2"/>
          </rPr>
          <t>(paper)</t>
        </r>
        <r>
          <rPr>
            <sz val="9"/>
            <color indexed="81"/>
            <rFont val="Tahoma"/>
            <family val="2"/>
          </rPr>
          <t xml:space="preserve"> / </t>
        </r>
        <r>
          <rPr>
            <b/>
            <sz val="9"/>
            <color indexed="81"/>
            <rFont val="Tahoma"/>
            <family val="2"/>
          </rPr>
          <t>100 (internet)</t>
        </r>
        <r>
          <rPr>
            <sz val="9"/>
            <color indexed="81"/>
            <rFont val="Tahoma"/>
            <family val="2"/>
          </rPr>
          <t xml:space="preserve"> or a minimum </t>
        </r>
        <r>
          <rPr>
            <b/>
            <sz val="9"/>
            <color indexed="81"/>
            <rFont val="Tahoma"/>
            <family val="2"/>
          </rPr>
          <t>IELTS score of 7.0</t>
        </r>
        <r>
          <rPr>
            <sz val="9"/>
            <color indexed="81"/>
            <rFont val="Tahoma"/>
            <family val="2"/>
          </rPr>
          <t xml:space="preserve"> or native speaker documentation is required.
</t>
        </r>
      </text>
    </comment>
    <comment ref="E19" authorId="0" shapeId="0" xr:uid="{2358C764-7CFC-42BD-88C2-FB36228D50C6}">
      <text>
        <r>
          <rPr>
            <b/>
            <sz val="9"/>
            <color indexed="81"/>
            <rFont val="Tahoma"/>
            <family val="2"/>
          </rPr>
          <t>Tourism and Hospitality Studies (x 2)</t>
        </r>
        <r>
          <rPr>
            <sz val="9"/>
            <color indexed="81"/>
            <rFont val="Tahoma"/>
            <family val="2"/>
          </rPr>
          <t xml:space="preserve">
</t>
        </r>
      </text>
    </comment>
    <comment ref="E20" authorId="0" shapeId="0" xr:uid="{79AC7D7A-B626-4C36-98D8-A2444859B4AA}">
      <text>
        <r>
          <rPr>
            <b/>
            <sz val="8"/>
            <color indexed="81"/>
            <rFont val="Tahoma"/>
            <family val="2"/>
          </rPr>
          <t>English Language and at least one best subject of Mathematics (Compulsory Part), Mathematics (Extended Part) Module I or II must be included</t>
        </r>
        <r>
          <rPr>
            <sz val="9"/>
            <color indexed="81"/>
            <rFont val="Tahoma"/>
            <family val="2"/>
          </rPr>
          <t xml:space="preserve">
</t>
        </r>
      </text>
    </comment>
    <comment ref="Q20" authorId="1" shapeId="0" xr:uid="{580AD9FE-F497-4A57-8829-6512DA08BFA3}">
      <text>
        <r>
          <rPr>
            <b/>
            <sz val="9"/>
            <color indexed="81"/>
            <rFont val="Tahoma"/>
            <family val="2"/>
          </rPr>
          <t>Mathematics (M1/2)</t>
        </r>
        <r>
          <rPr>
            <sz val="9"/>
            <color indexed="81"/>
            <rFont val="Tahoma"/>
            <family val="2"/>
          </rPr>
          <t xml:space="preserve">
at </t>
        </r>
        <r>
          <rPr>
            <b/>
            <sz val="9"/>
            <color indexed="81"/>
            <rFont val="Tahoma"/>
            <family val="2"/>
          </rPr>
          <t>Level 5</t>
        </r>
        <r>
          <rPr>
            <sz val="9"/>
            <color indexed="81"/>
            <rFont val="Tahoma"/>
            <family val="2"/>
          </rPr>
          <t xml:space="preserve"> is required if
</t>
        </r>
        <r>
          <rPr>
            <b/>
            <sz val="9"/>
            <color indexed="81"/>
            <rFont val="Tahoma"/>
            <family val="2"/>
          </rPr>
          <t>Mathematics</t>
        </r>
        <r>
          <rPr>
            <sz val="9"/>
            <color indexed="81"/>
            <rFont val="Tahoma"/>
            <family val="2"/>
          </rPr>
          <t xml:space="preserve"> (Compulsory
Part) is at </t>
        </r>
        <r>
          <rPr>
            <b/>
            <sz val="9"/>
            <color indexed="81"/>
            <rFont val="Tahoma"/>
            <family val="2"/>
          </rPr>
          <t>Level 3 or 4</t>
        </r>
        <r>
          <rPr>
            <sz val="9"/>
            <color indexed="81"/>
            <rFont val="Tahoma"/>
            <family val="2"/>
          </rPr>
          <t xml:space="preserve">
</t>
        </r>
      </text>
    </comment>
    <comment ref="S20" authorId="1" shapeId="0" xr:uid="{A639166A-E476-49A5-8DE8-03FE914F4F26}">
      <text>
        <r>
          <rPr>
            <b/>
            <sz val="9"/>
            <color indexed="81"/>
            <rFont val="Tahoma"/>
            <family val="2"/>
          </rPr>
          <t>Mathematics (M1/2)</t>
        </r>
        <r>
          <rPr>
            <sz val="9"/>
            <color indexed="81"/>
            <rFont val="Tahoma"/>
            <family val="2"/>
          </rPr>
          <t xml:space="preserve">
at </t>
        </r>
        <r>
          <rPr>
            <b/>
            <sz val="9"/>
            <color indexed="81"/>
            <rFont val="Tahoma"/>
            <family val="2"/>
          </rPr>
          <t>Level 5</t>
        </r>
        <r>
          <rPr>
            <sz val="9"/>
            <color indexed="81"/>
            <rFont val="Tahoma"/>
            <family val="2"/>
          </rPr>
          <t xml:space="preserve"> is required if
</t>
        </r>
        <r>
          <rPr>
            <b/>
            <sz val="9"/>
            <color indexed="81"/>
            <rFont val="Tahoma"/>
            <family val="2"/>
          </rPr>
          <t>Mathematics</t>
        </r>
        <r>
          <rPr>
            <sz val="9"/>
            <color indexed="81"/>
            <rFont val="Tahoma"/>
            <family val="2"/>
          </rPr>
          <t xml:space="preserve"> (Compulsory
Part) is at </t>
        </r>
        <r>
          <rPr>
            <b/>
            <sz val="9"/>
            <color indexed="81"/>
            <rFont val="Tahoma"/>
            <family val="2"/>
          </rPr>
          <t>Level 3 or 4</t>
        </r>
        <r>
          <rPr>
            <sz val="9"/>
            <color indexed="81"/>
            <rFont val="Tahoma"/>
            <family val="2"/>
          </rPr>
          <t xml:space="preserve">
</t>
        </r>
        <r>
          <rPr>
            <b/>
            <sz val="9"/>
            <color indexed="81"/>
            <rFont val="Tahoma"/>
            <family val="2"/>
          </rPr>
          <t xml:space="preserve">
</t>
        </r>
        <r>
          <rPr>
            <sz val="9"/>
            <color indexed="81"/>
            <rFont val="Tahoma"/>
            <family val="2"/>
          </rPr>
          <t xml:space="preserve">
</t>
        </r>
      </text>
    </comment>
    <comment ref="T20" authorId="1" shapeId="0" xr:uid="{FEF2BB0D-CCBB-4C7A-B407-0A5CEFC4B35A}">
      <text>
        <r>
          <rPr>
            <b/>
            <sz val="9"/>
            <color indexed="81"/>
            <rFont val="Tahoma"/>
            <family val="2"/>
          </rPr>
          <t>Mathematics (M1/2)</t>
        </r>
        <r>
          <rPr>
            <sz val="9"/>
            <color indexed="81"/>
            <rFont val="Tahoma"/>
            <family val="2"/>
          </rPr>
          <t xml:space="preserve">
at </t>
        </r>
        <r>
          <rPr>
            <b/>
            <sz val="9"/>
            <color indexed="81"/>
            <rFont val="Tahoma"/>
            <family val="2"/>
          </rPr>
          <t>Level 5</t>
        </r>
        <r>
          <rPr>
            <sz val="9"/>
            <color indexed="81"/>
            <rFont val="Tahoma"/>
            <family val="2"/>
          </rPr>
          <t xml:space="preserve"> is required if
</t>
        </r>
        <r>
          <rPr>
            <b/>
            <sz val="9"/>
            <color indexed="81"/>
            <rFont val="Tahoma"/>
            <family val="2"/>
          </rPr>
          <t xml:space="preserve">Mathematics </t>
        </r>
        <r>
          <rPr>
            <sz val="9"/>
            <color indexed="81"/>
            <rFont val="Tahoma"/>
            <family val="2"/>
          </rPr>
          <t xml:space="preserve">(Compulsory
Part) is at </t>
        </r>
        <r>
          <rPr>
            <b/>
            <sz val="9"/>
            <color indexed="81"/>
            <rFont val="Tahoma"/>
            <family val="2"/>
          </rPr>
          <t>Level 3 or 4</t>
        </r>
      </text>
    </comment>
    <comment ref="E22" authorId="0" shapeId="0" xr:uid="{C3D50748-400E-4E51-9ED4-40FF14456B18}">
      <text>
        <r>
          <rPr>
            <b/>
            <sz val="9"/>
            <color indexed="81"/>
            <rFont val="Tahoma"/>
            <family val="2"/>
          </rPr>
          <t>English (x 2)
Mathematics (x 2)
The best one subject of M1/M2, Chemistry or Physics (x 1.5)</t>
        </r>
        <r>
          <rPr>
            <sz val="9"/>
            <color indexed="81"/>
            <rFont val="Tahoma"/>
            <family val="2"/>
          </rPr>
          <t xml:space="preserve">
</t>
        </r>
      </text>
    </comment>
    <comment ref="E24" authorId="0" shapeId="0" xr:uid="{04C851A0-FB66-45F8-8901-8653F8EA73C6}">
      <text>
        <r>
          <rPr>
            <b/>
            <sz val="9"/>
            <color indexed="81"/>
            <rFont val="Tahoma"/>
            <family val="2"/>
          </rPr>
          <t>English (x 2)
Chinese (x 1.5)
Liberal Studies (x 2)</t>
        </r>
        <r>
          <rPr>
            <sz val="9"/>
            <color indexed="81"/>
            <rFont val="Tahoma"/>
            <family val="2"/>
          </rPr>
          <t xml:space="preserve">
</t>
        </r>
      </text>
    </comment>
    <comment ref="E25" authorId="0" shapeId="0" xr:uid="{08EC95EB-A5C5-4700-A79D-0CEFA014A05B}">
      <text>
        <r>
          <rPr>
            <b/>
            <sz val="9"/>
            <color indexed="81"/>
            <rFont val="Tahoma"/>
            <family val="2"/>
          </rPr>
          <t>English (x 2)
Mathematics (x 2)
M1 or M2 (x 2)</t>
        </r>
        <r>
          <rPr>
            <sz val="9"/>
            <color indexed="81"/>
            <rFont val="Tahoma"/>
            <family val="2"/>
          </rPr>
          <t xml:space="preserve">
</t>
        </r>
      </text>
    </comment>
    <comment ref="M26" authorId="0" shapeId="0" xr:uid="{DB742F89-0F79-43DF-9889-9E40E1D039E6}">
      <text>
        <r>
          <rPr>
            <sz val="9"/>
            <color indexed="81"/>
            <rFont val="Tahoma"/>
            <family val="2"/>
          </rPr>
          <t xml:space="preserve">Due to the small number of JUPAS applicants admitted in the 2019 entry, </t>
        </r>
        <r>
          <rPr>
            <b/>
            <sz val="9"/>
            <color indexed="81"/>
            <rFont val="Tahoma"/>
            <family val="2"/>
          </rPr>
          <t>admission figures are not included</t>
        </r>
        <r>
          <rPr>
            <sz val="9"/>
            <color indexed="81"/>
            <rFont val="Tahoma"/>
            <family val="2"/>
          </rPr>
          <t xml:space="preserve"> in order to protect the personal data privacy of individual students.
A minimum </t>
        </r>
        <r>
          <rPr>
            <b/>
            <sz val="9"/>
            <color indexed="81"/>
            <rFont val="Tahoma"/>
            <family val="2"/>
          </rPr>
          <t>TOEFL score of 600 (paper)</t>
        </r>
        <r>
          <rPr>
            <sz val="9"/>
            <color indexed="81"/>
            <rFont val="Tahoma"/>
            <family val="2"/>
          </rPr>
          <t xml:space="preserve"> / </t>
        </r>
        <r>
          <rPr>
            <b/>
            <sz val="9"/>
            <color indexed="81"/>
            <rFont val="Tahoma"/>
            <family val="2"/>
          </rPr>
          <t>100 (internet)</t>
        </r>
        <r>
          <rPr>
            <sz val="9"/>
            <color indexed="81"/>
            <rFont val="Tahoma"/>
            <family val="2"/>
          </rPr>
          <t xml:space="preserve"> or a minimum</t>
        </r>
        <r>
          <rPr>
            <b/>
            <sz val="9"/>
            <color indexed="81"/>
            <rFont val="Tahoma"/>
            <family val="2"/>
          </rPr>
          <t xml:space="preserve"> IELTS score of 7.0</t>
        </r>
        <r>
          <rPr>
            <sz val="9"/>
            <color indexed="81"/>
            <rFont val="Tahoma"/>
            <family val="2"/>
          </rPr>
          <t xml:space="preserve"> or native speaker documentation is required.</t>
        </r>
      </text>
    </comment>
    <comment ref="E28" authorId="0" shapeId="0" xr:uid="{7E323561-8847-459A-BD22-F65010BF51FD}">
      <text>
        <r>
          <rPr>
            <b/>
            <sz val="9"/>
            <color indexed="81"/>
            <rFont val="Tahoma"/>
            <family val="2"/>
          </rPr>
          <t>Chinese must be included
Chinese with heavier weighting
(</t>
        </r>
        <r>
          <rPr>
            <b/>
            <sz val="9"/>
            <color indexed="81"/>
            <rFont val="細明體"/>
            <family val="3"/>
            <charset val="136"/>
          </rPr>
          <t>此處作</t>
        </r>
        <r>
          <rPr>
            <b/>
            <sz val="9"/>
            <color indexed="81"/>
            <rFont val="Tahoma"/>
            <family val="2"/>
          </rPr>
          <t>x1.5)</t>
        </r>
      </text>
    </comment>
    <comment ref="E29" authorId="0" shapeId="0" xr:uid="{A59F8DA7-58F9-49E3-ACAA-F70713BF21FA}">
      <text>
        <r>
          <rPr>
            <b/>
            <sz val="9"/>
            <color indexed="81"/>
            <rFont val="Tahoma"/>
            <family val="2"/>
          </rPr>
          <t>English must be included
English with heavier weighting
(</t>
        </r>
        <r>
          <rPr>
            <b/>
            <sz val="9"/>
            <color indexed="81"/>
            <rFont val="細明體"/>
            <family val="3"/>
            <charset val="136"/>
          </rPr>
          <t>此處作</t>
        </r>
        <r>
          <rPr>
            <b/>
            <sz val="9"/>
            <color indexed="81"/>
            <rFont val="Tahoma"/>
            <family val="2"/>
          </rPr>
          <t>x1.5)</t>
        </r>
        <r>
          <rPr>
            <sz val="9"/>
            <color indexed="81"/>
            <rFont val="Tahoma"/>
            <family val="2"/>
          </rPr>
          <t xml:space="preserve">
</t>
        </r>
      </text>
    </comment>
    <comment ref="E30" authorId="0" shapeId="0" xr:uid="{6E6F127A-3CEA-42BA-A394-3EC1A928DC0A}">
      <text>
        <r>
          <rPr>
            <b/>
            <sz val="9"/>
            <color indexed="81"/>
            <rFont val="細明體"/>
            <family val="3"/>
            <charset val="136"/>
          </rPr>
          <t>中文、英文</t>
        </r>
        <r>
          <rPr>
            <b/>
            <sz val="9"/>
            <color indexed="81"/>
            <rFont val="Tahoma"/>
            <family val="2"/>
          </rPr>
          <t xml:space="preserve"> x 1.2, </t>
        </r>
        <r>
          <rPr>
            <b/>
            <sz val="9"/>
            <color indexed="81"/>
            <rFont val="細明體"/>
            <family val="3"/>
            <charset val="136"/>
          </rPr>
          <t>數學、</t>
        </r>
        <r>
          <rPr>
            <b/>
            <sz val="9"/>
            <color indexed="81"/>
            <rFont val="Tahoma"/>
            <family val="2"/>
          </rPr>
          <t>M1/2 x 1.5</t>
        </r>
      </text>
    </comment>
    <comment ref="T30" authorId="1" shapeId="0" xr:uid="{84950BD9-96BB-4593-B924-F9D4A4D82CEC}">
      <text>
        <r>
          <rPr>
            <b/>
            <sz val="9"/>
            <color indexed="81"/>
            <rFont val="Tahoma"/>
            <family val="2"/>
          </rPr>
          <t>Lv.3 in M1/2 is required</t>
        </r>
      </text>
    </comment>
    <comment ref="C32" authorId="0" shapeId="0" xr:uid="{F11B1399-155E-4528-928C-EA9F4726AF64}">
      <text>
        <r>
          <rPr>
            <b/>
            <sz val="9"/>
            <color indexed="81"/>
            <rFont val="Tahoma"/>
            <family val="2"/>
          </rPr>
          <t>(a) The following subjects are preferred:
• M1/M2
• Biology
• Chemistry
• Combined Science
• DAT
• ICT
• Physics</t>
        </r>
        <r>
          <rPr>
            <sz val="9"/>
            <color indexed="81"/>
            <rFont val="Tahoma"/>
            <family val="2"/>
          </rPr>
          <t xml:space="preserve">
</t>
        </r>
      </text>
    </comment>
    <comment ref="E32" authorId="0" shapeId="0" xr:uid="{D17CA30B-C3E5-4F77-B48F-303C3876B114}">
      <text>
        <r>
          <rPr>
            <b/>
            <sz val="9"/>
            <color indexed="81"/>
            <rFont val="Tahoma"/>
            <family val="2"/>
          </rPr>
          <t>Mathematics (x 1.5)
M1 or M2 (x 1.75)
Biology, Chemistry, Combined Science, DAT, ICT, Physics (x 1.5)
Liberal Studies (x 0.5)</t>
        </r>
        <r>
          <rPr>
            <sz val="9"/>
            <color indexed="81"/>
            <rFont val="Tahoma"/>
            <family val="2"/>
          </rPr>
          <t xml:space="preserve">
</t>
        </r>
      </text>
    </comment>
    <comment ref="S32" authorId="1" shapeId="0" xr:uid="{5BBD491E-8E6F-47AB-BDC9-C0244C0CB02F}">
      <text>
        <r>
          <rPr>
            <b/>
            <sz val="9"/>
            <color indexed="81"/>
            <rFont val="Tahoma"/>
            <family val="2"/>
          </rPr>
          <t xml:space="preserve">One of the following:
</t>
        </r>
        <r>
          <rPr>
            <sz val="9"/>
            <color indexed="81"/>
            <rFont val="Tahoma"/>
            <family val="2"/>
          </rPr>
          <t>• M1/M2
• Biology
• Chemistry
• Combined Science
• Physics</t>
        </r>
      </text>
    </comment>
    <comment ref="C33" authorId="0" shapeId="0" xr:uid="{956E154C-87F1-4447-9B71-C1397A697F61}">
      <text>
        <r>
          <rPr>
            <b/>
            <sz val="9"/>
            <color indexed="81"/>
            <rFont val="Tahoma"/>
            <family val="2"/>
          </rPr>
          <t>The following subjects are preferred:
• M1/M2
• Biology
• BAFS
• Chemistry
• Combined Science
• Economics
• ICT
• Physics</t>
        </r>
        <r>
          <rPr>
            <sz val="9"/>
            <color indexed="81"/>
            <rFont val="Tahoma"/>
            <family val="2"/>
          </rPr>
          <t xml:space="preserve">
</t>
        </r>
      </text>
    </comment>
    <comment ref="E33" authorId="0" shapeId="0" xr:uid="{D74896CD-BCC5-44C5-B584-FE01265CAA40}">
      <text>
        <r>
          <rPr>
            <b/>
            <sz val="9"/>
            <color indexed="81"/>
            <rFont val="Tahoma"/>
            <family val="2"/>
          </rPr>
          <t>English (x 1.25)
Chinese (x 1.25)
Mathematics (x 1.75)
M1 or M2 (x 1.75)
Biology, BAFS, Chemistry, Combined Science, Economics, ICT, Physics (x 1.5)</t>
        </r>
        <r>
          <rPr>
            <sz val="9"/>
            <color indexed="81"/>
            <rFont val="Tahoma"/>
            <family val="2"/>
          </rPr>
          <t xml:space="preserve">
</t>
        </r>
      </text>
    </comment>
    <comment ref="E34" authorId="0" shapeId="0" xr:uid="{D00C559C-CAC7-48EA-AACF-CE98FD280321}">
      <text>
        <r>
          <rPr>
            <b/>
            <sz val="9"/>
            <color indexed="81"/>
            <rFont val="Tahoma"/>
            <family val="2"/>
          </rPr>
          <t>Mathematics (x 1.5)
M1 or M2 (x 1.5)
Physics (x 1.5)</t>
        </r>
        <r>
          <rPr>
            <sz val="9"/>
            <color indexed="81"/>
            <rFont val="Tahoma"/>
            <family val="2"/>
          </rPr>
          <t xml:space="preserve">
</t>
        </r>
      </text>
    </comment>
    <comment ref="S34" authorId="1" shapeId="0" xr:uid="{818B9E56-AE0B-43AD-81D9-99353D8101F6}">
      <text>
        <r>
          <rPr>
            <b/>
            <sz val="9"/>
            <color indexed="81"/>
            <rFont val="Tahoma"/>
            <family val="2"/>
          </rPr>
          <t xml:space="preserve">One of the following:
</t>
        </r>
        <r>
          <rPr>
            <sz val="9"/>
            <color indexed="81"/>
            <rFont val="Tahoma"/>
            <family val="2"/>
          </rPr>
          <t>• M1/M2
• Biology
• Chemistry
• Combined Science
• ICT
• Physics</t>
        </r>
      </text>
    </comment>
    <comment ref="E35" authorId="0" shapeId="0" xr:uid="{1E956E96-8EB9-48F8-AA98-77F0718EDF1E}">
      <text>
        <r>
          <rPr>
            <b/>
            <sz val="9"/>
            <color indexed="81"/>
            <rFont val="Tahoma"/>
            <family val="2"/>
          </rPr>
          <t>English (x 1.5)
The best one subject of Mathematics or M1 or M2 (x 1.5)
Biology, Chemistry, Combined Science, Physics (x 1.5)</t>
        </r>
        <r>
          <rPr>
            <sz val="9"/>
            <color indexed="81"/>
            <rFont val="Tahoma"/>
            <family val="2"/>
          </rPr>
          <t xml:space="preserve">
</t>
        </r>
      </text>
    </comment>
    <comment ref="S35" authorId="1" shapeId="0" xr:uid="{D47FC71F-86C4-4CC0-A329-6417DEB859EC}">
      <text>
        <r>
          <rPr>
            <b/>
            <sz val="9"/>
            <color indexed="81"/>
            <rFont val="Tahoma"/>
            <family val="2"/>
          </rPr>
          <t xml:space="preserve">One of the following:
</t>
        </r>
        <r>
          <rPr>
            <sz val="9"/>
            <color indexed="81"/>
            <rFont val="Tahoma"/>
            <family val="2"/>
          </rPr>
          <t>• M1/M2
• Biology
• Chemistry
• Combined Science
• Physics</t>
        </r>
      </text>
    </comment>
    <comment ref="E36" authorId="0" shapeId="0" xr:uid="{E0F240F9-7039-4BA6-844B-2D21E93D4B20}">
      <text>
        <r>
          <rPr>
            <b/>
            <sz val="9"/>
            <color indexed="81"/>
            <rFont val="Tahoma"/>
            <family val="2"/>
          </rPr>
          <t>Mathematics (x 1.5)
M1 or M2 (x 1.5)
Biology, Chemistry, Combined Science, DAT, ICT, Physics (x 1.5)
Economics, Geography (x 1.2)
Liberal Studies (x 0.5)</t>
        </r>
        <r>
          <rPr>
            <sz val="9"/>
            <color indexed="81"/>
            <rFont val="Tahoma"/>
            <family val="2"/>
          </rPr>
          <t xml:space="preserve">
</t>
        </r>
      </text>
    </comment>
    <comment ref="S36" authorId="1" shapeId="0" xr:uid="{5E11D08F-A7F9-4A56-9A46-C520C8C1F5A4}">
      <text>
        <r>
          <rPr>
            <b/>
            <sz val="9"/>
            <color indexed="81"/>
            <rFont val="Tahoma"/>
            <family val="2"/>
          </rPr>
          <t xml:space="preserve">One of the following:
</t>
        </r>
        <r>
          <rPr>
            <sz val="9"/>
            <color indexed="81"/>
            <rFont val="Tahoma"/>
            <family val="2"/>
          </rPr>
          <t xml:space="preserve">• M1/M2
• Biology
• Chemistry
• Combined Science
• DAT
• ICT
• Physics
</t>
        </r>
      </text>
    </comment>
    <comment ref="C37" authorId="0" shapeId="0" xr:uid="{76D632A6-F34A-4117-A5B5-64029A09B0EB}">
      <text>
        <r>
          <rPr>
            <b/>
            <sz val="9"/>
            <color indexed="81"/>
            <rFont val="Tahoma"/>
            <family val="2"/>
          </rPr>
          <t>The following subjects are preferred:
• M1/M2
• Biology
• Chemistry
• Combined Science
• ICT
• Physics
^ Candidates with Level 4 in Mathematics (Compulsory Part) and good results in other HKDSE subjects will be exceptionally considered on a case by case basis.</t>
        </r>
        <r>
          <rPr>
            <sz val="9"/>
            <color indexed="81"/>
            <rFont val="Tahoma"/>
            <family val="2"/>
          </rPr>
          <t xml:space="preserve">
</t>
        </r>
      </text>
    </comment>
    <comment ref="E37" authorId="0" shapeId="0" xr:uid="{C7C5CCC9-32B5-460A-BE25-142F40BB11A2}">
      <text>
        <r>
          <rPr>
            <b/>
            <sz val="9"/>
            <color indexed="81"/>
            <rFont val="Tahoma"/>
            <family val="2"/>
          </rPr>
          <t>English (x 1.25)
Chinese (x 1.25)
Mathematics (x 1.75)
M1 or M2 (x 1.75)
Biology, Chemistry, Combined Science, ICT, Physics (x 1.5)</t>
        </r>
      </text>
    </comment>
    <comment ref="Q37" authorId="1" shapeId="0" xr:uid="{92130EB7-3F8F-4453-A43B-8583D9B59ADF}">
      <text>
        <r>
          <rPr>
            <sz val="9"/>
            <color indexed="81"/>
            <rFont val="Tahoma"/>
            <family val="2"/>
          </rPr>
          <t>^ Candidates with</t>
        </r>
        <r>
          <rPr>
            <b/>
            <sz val="9"/>
            <color indexed="81"/>
            <rFont val="Tahoma"/>
            <family val="2"/>
          </rPr>
          <t xml:space="preserve"> Level 4 in
Mathematics</t>
        </r>
        <r>
          <rPr>
            <sz val="9"/>
            <color indexed="81"/>
            <rFont val="Tahoma"/>
            <family val="2"/>
          </rPr>
          <t xml:space="preserve"> (Compulsory Part) and
</t>
        </r>
        <r>
          <rPr>
            <b/>
            <sz val="9"/>
            <color indexed="81"/>
            <rFont val="Tahoma"/>
            <family val="2"/>
          </rPr>
          <t>good results in other HKDSE subjects</t>
        </r>
        <r>
          <rPr>
            <sz val="9"/>
            <color indexed="81"/>
            <rFont val="Tahoma"/>
            <family val="2"/>
          </rPr>
          <t xml:space="preserve">
will be exceptionally considered on a
case by case basis.</t>
        </r>
      </text>
    </comment>
    <comment ref="C38" authorId="0" shapeId="0" xr:uid="{8723FD21-11C7-4EB3-8A96-FC2BB4BA8A8C}">
      <text>
        <r>
          <rPr>
            <b/>
            <sz val="9"/>
            <color indexed="81"/>
            <rFont val="Tahoma"/>
            <family val="2"/>
          </rPr>
          <t>a) Chemistry is preferred
(b) Biology is preferred
(c) Taking a third elective and/or M1/M2 will be strongly recommended</t>
        </r>
        <r>
          <rPr>
            <sz val="9"/>
            <color indexed="81"/>
            <rFont val="Tahoma"/>
            <family val="2"/>
          </rPr>
          <t xml:space="preserve">
</t>
        </r>
      </text>
    </comment>
    <comment ref="S38" authorId="1" shapeId="0" xr:uid="{12430595-CA2D-437F-AE99-3861299EF67A}">
      <text>
        <r>
          <rPr>
            <b/>
            <sz val="9"/>
            <color indexed="81"/>
            <rFont val="Tahoma"/>
            <family val="2"/>
          </rPr>
          <t>At Least one of the following:</t>
        </r>
        <r>
          <rPr>
            <sz val="9"/>
            <color indexed="81"/>
            <rFont val="Tahoma"/>
            <family val="2"/>
          </rPr>
          <t xml:space="preserve">
Biology or Chemistry</t>
        </r>
      </text>
    </comment>
    <comment ref="C39" authorId="0" shapeId="0" xr:uid="{492FA688-DA9F-4CD1-87FC-446F4BC59F6A}">
      <text>
        <r>
          <rPr>
            <b/>
            <sz val="9"/>
            <color indexed="81"/>
            <rFont val="Tahoma"/>
            <family val="2"/>
          </rPr>
          <t>(a) Chemistry is preferred
(b) Biology is preferred
(c) Taking a third elective and/or M1/M2 will be strongly recommended
(d) Additional requirements: Total score &gt; 46 in 7 subjects with 5** in ANY 4 subjects</t>
        </r>
        <r>
          <rPr>
            <sz val="9"/>
            <color indexed="81"/>
            <rFont val="Tahoma"/>
            <family val="2"/>
          </rPr>
          <t xml:space="preserve">
</t>
        </r>
      </text>
    </comment>
    <comment ref="I39" authorId="1" shapeId="0" xr:uid="{93C14A29-B2F2-4C9F-8F01-7C1A334A575B}">
      <text>
        <r>
          <rPr>
            <b/>
            <sz val="9"/>
            <color indexed="81"/>
            <rFont val="Tahoma"/>
            <family val="2"/>
          </rPr>
          <t>Additional requirements: Total score &gt; 46 in 7 subjects with 5** in ANY 4 subjects</t>
        </r>
        <r>
          <rPr>
            <sz val="9"/>
            <color indexed="81"/>
            <rFont val="Tahoma"/>
            <family val="2"/>
          </rPr>
          <t xml:space="preserve">
</t>
        </r>
      </text>
    </comment>
    <comment ref="L39" authorId="0" shapeId="0" xr:uid="{E43C207F-5A87-4184-B787-6C3B2B5427D2}">
      <text>
        <r>
          <rPr>
            <b/>
            <sz val="9"/>
            <color indexed="81"/>
            <rFont val="Tahoma"/>
            <family val="2"/>
          </rPr>
          <t>Combined figure</t>
        </r>
        <r>
          <rPr>
            <sz val="9"/>
            <color indexed="81"/>
            <rFont val="Tahoma"/>
            <family val="2"/>
          </rPr>
          <t xml:space="preserve"> of 265 for programmes JS4501 and JS4502
</t>
        </r>
      </text>
    </comment>
    <comment ref="S39" authorId="1" shapeId="0" xr:uid="{2B45FE1C-61ED-460A-9A13-DE98580D9EBA}">
      <text>
        <r>
          <rPr>
            <b/>
            <sz val="9"/>
            <color indexed="81"/>
            <rFont val="Tahoma"/>
            <family val="2"/>
          </rPr>
          <t xml:space="preserve">At Least one of the following:
</t>
        </r>
        <r>
          <rPr>
            <sz val="9"/>
            <color indexed="81"/>
            <rFont val="Tahoma"/>
            <family val="2"/>
          </rPr>
          <t>Biology or Chemistry</t>
        </r>
      </text>
    </comment>
    <comment ref="C40" authorId="0" shapeId="0" xr:uid="{7641528B-CE01-4464-8D63-2ED24048B3B5}">
      <text>
        <r>
          <rPr>
            <b/>
            <sz val="9"/>
            <color indexed="81"/>
            <rFont val="Tahoma"/>
            <family val="2"/>
          </rPr>
          <t>Preferred subjects for one of the two electives:
Biology
Chemistry
Combined Science
Integrated Science
Physics</t>
        </r>
        <r>
          <rPr>
            <sz val="9"/>
            <color indexed="81"/>
            <rFont val="Tahoma"/>
            <family val="2"/>
          </rPr>
          <t xml:space="preserve">
</t>
        </r>
      </text>
    </comment>
    <comment ref="E40" authorId="0" shapeId="0" xr:uid="{57CDB1C2-1F4A-4311-B0EC-7D259EDF2D50}">
      <text>
        <r>
          <rPr>
            <b/>
            <sz val="9"/>
            <color indexed="81"/>
            <rFont val="Tahoma"/>
            <family val="2"/>
          </rPr>
          <t>Subjects with heavier weighting:
• Biology, Chemistry, Combined Science, Integrated Science, Physics
(</t>
        </r>
        <r>
          <rPr>
            <b/>
            <sz val="9"/>
            <color indexed="81"/>
            <rFont val="細明體"/>
            <family val="3"/>
            <charset val="136"/>
          </rPr>
          <t>此處作</t>
        </r>
        <r>
          <rPr>
            <b/>
            <sz val="9"/>
            <color indexed="81"/>
            <rFont val="Tahoma"/>
            <family val="2"/>
          </rPr>
          <t>x1.5)</t>
        </r>
      </text>
    </comment>
    <comment ref="G40" authorId="1" shapeId="0" xr:uid="{F4AD616D-BECC-47D2-BE93-D5A7166A3279}">
      <text>
        <r>
          <rPr>
            <sz val="9"/>
            <color indexed="81"/>
            <rFont val="細明體"/>
            <family val="3"/>
            <charset val="136"/>
          </rPr>
          <t>參考</t>
        </r>
        <r>
          <rPr>
            <sz val="9"/>
            <color indexed="81"/>
            <rFont val="Tahoma"/>
            <family val="2"/>
          </rPr>
          <t>CU admission score 2020</t>
        </r>
        <r>
          <rPr>
            <sz val="9"/>
            <color indexed="81"/>
            <rFont val="細明體"/>
            <family val="3"/>
            <charset val="136"/>
          </rPr>
          <t xml:space="preserve">
若</t>
        </r>
        <r>
          <rPr>
            <sz val="9"/>
            <color indexed="81"/>
            <rFont val="Tahoma"/>
            <family val="2"/>
          </rPr>
          <t>2</t>
        </r>
        <r>
          <rPr>
            <sz val="9"/>
            <color indexed="81"/>
            <rFont val="細明體"/>
            <family val="3"/>
            <charset val="136"/>
          </rPr>
          <t>科選修均有比重，則會出現</t>
        </r>
        <r>
          <rPr>
            <sz val="9"/>
            <color indexed="81"/>
            <rFont val="Tahoma"/>
            <family val="2"/>
          </rPr>
          <t xml:space="preserve">Median </t>
        </r>
        <r>
          <rPr>
            <sz val="9"/>
            <color indexed="81"/>
            <rFont val="細明體"/>
            <family val="3"/>
            <charset val="136"/>
          </rPr>
          <t>高於</t>
        </r>
        <r>
          <rPr>
            <sz val="9"/>
            <color indexed="81"/>
            <rFont val="Tahoma"/>
            <family val="2"/>
          </rPr>
          <t>UQ</t>
        </r>
        <r>
          <rPr>
            <sz val="9"/>
            <color indexed="81"/>
            <rFont val="細明體"/>
            <family val="3"/>
            <charset val="136"/>
          </rPr>
          <t>的情況，因則此處只計算</t>
        </r>
        <r>
          <rPr>
            <sz val="9"/>
            <color indexed="81"/>
            <rFont val="Tahoma"/>
            <family val="2"/>
          </rPr>
          <t>1</t>
        </r>
        <r>
          <rPr>
            <sz val="9"/>
            <color indexed="81"/>
            <rFont val="細明體"/>
            <family val="3"/>
            <charset val="136"/>
          </rPr>
          <t>科選修之比重</t>
        </r>
        <r>
          <rPr>
            <sz val="9"/>
            <color indexed="81"/>
            <rFont val="Tahoma"/>
            <family val="2"/>
          </rPr>
          <t xml:space="preserve">
</t>
        </r>
      </text>
    </comment>
    <comment ref="C43" authorId="0" shapeId="0" xr:uid="{C2FFB4C3-31A1-4A49-9B33-22624C42F438}">
      <text>
        <r>
          <rPr>
            <b/>
            <sz val="9"/>
            <color indexed="81"/>
            <rFont val="Tahoma"/>
            <family val="2"/>
          </rPr>
          <t>Preferred subjects for one of the two electives:
Biology
Chemistry
Combined Science
Integrated Science
Physics</t>
        </r>
      </text>
    </comment>
    <comment ref="C44" authorId="0" shapeId="0" xr:uid="{B8A8D47D-019D-4540-B766-D7209DBE0793}">
      <text>
        <r>
          <rPr>
            <b/>
            <sz val="9"/>
            <color indexed="81"/>
            <rFont val="Tahoma"/>
            <family val="2"/>
          </rPr>
          <t>(a) Category A subjects only</t>
        </r>
      </text>
    </comment>
    <comment ref="S44" authorId="1" shapeId="0" xr:uid="{05B0EFF8-E877-4074-B4B1-F9A5FA814E9F}">
      <text>
        <r>
          <rPr>
            <b/>
            <sz val="9"/>
            <color indexed="81"/>
            <rFont val="Tahoma"/>
            <family val="2"/>
          </rPr>
          <t xml:space="preserve">At Least one of the following:
</t>
        </r>
        <r>
          <rPr>
            <sz val="9"/>
            <color indexed="81"/>
            <rFont val="Tahoma"/>
            <family val="2"/>
          </rPr>
          <t>Biology or Chemistry</t>
        </r>
      </text>
    </comment>
    <comment ref="C45" authorId="0" shapeId="0" xr:uid="{DE88FCD0-7AB1-4418-8EC5-1F352B5074D1}">
      <text>
        <r>
          <rPr>
            <b/>
            <sz val="9"/>
            <color indexed="81"/>
            <rFont val="Tahoma"/>
            <family val="2"/>
          </rPr>
          <t>(a) Category A subjects only
(b) Preferred subjects:
• M1/M2
• Biology
• Chemistry
• Combined Science
• Economics
• Geography
• ICT
• Integrated Science
• Physics
• Tech and Living (FST)</t>
        </r>
        <r>
          <rPr>
            <sz val="9"/>
            <color indexed="81"/>
            <rFont val="Tahoma"/>
            <family val="2"/>
          </rPr>
          <t xml:space="preserve">
</t>
        </r>
      </text>
    </comment>
    <comment ref="E45" authorId="0" shapeId="0" xr:uid="{6B139635-970E-43F8-864A-FEBD217CCDF6}">
      <text>
        <r>
          <rPr>
            <sz val="9"/>
            <color indexed="81"/>
            <rFont val="Tahoma"/>
            <family val="2"/>
          </rPr>
          <t>English or Chinese (x 1.5)
Mathematics (x 2)
M1 or M2 (x 2)
Biology, Chemistry, Combined Science or Integrated Science, Physics (x 2)
Economics, Geography, ICT, Tech and Living (FST) (x 1.5)
Note: A maximum of 3 subjects will be weighted heavier in the total score of Best 5 subjects</t>
        </r>
      </text>
    </comment>
    <comment ref="S45" authorId="1" shapeId="0" xr:uid="{A09A0DAA-C038-4B18-A55E-A4840518BC39}">
      <text>
        <r>
          <rPr>
            <b/>
            <sz val="9"/>
            <color indexed="81"/>
            <rFont val="Tahoma"/>
            <family val="2"/>
          </rPr>
          <t xml:space="preserve">One of the following:
</t>
        </r>
        <r>
          <rPr>
            <sz val="9"/>
            <color indexed="81"/>
            <rFont val="Tahoma"/>
            <family val="2"/>
          </rPr>
          <t>• M1/M2
• Biology
• Chemistry
• Combined Science
• Integrated Science
• Physics</t>
        </r>
      </text>
    </comment>
    <comment ref="E46" authorId="0" shapeId="0" xr:uid="{800EF2A1-2677-4B91-96E2-A052CE9249B0}">
      <text>
        <r>
          <rPr>
            <b/>
            <sz val="9"/>
            <color indexed="81"/>
            <rFont val="Tahoma"/>
            <family val="2"/>
          </rPr>
          <t>Subjects with heavier weighting:
• English
• Mathematics
• M1 or M2
• Biology, Chemistry, Combined Science, Geography, Integrated Science, Physics
(</t>
        </r>
        <r>
          <rPr>
            <b/>
            <sz val="9"/>
            <color indexed="81"/>
            <rFont val="細明體"/>
            <family val="3"/>
            <charset val="136"/>
          </rPr>
          <t>此處作</t>
        </r>
        <r>
          <rPr>
            <b/>
            <sz val="9"/>
            <color indexed="81"/>
            <rFont val="Tahoma"/>
            <family val="2"/>
          </rPr>
          <t>x1.5)</t>
        </r>
      </text>
    </comment>
    <comment ref="S46" authorId="1" shapeId="0" xr:uid="{C853D3F3-B257-49B8-BA23-A13960C89B69}">
      <text>
        <r>
          <rPr>
            <b/>
            <sz val="9"/>
            <color indexed="81"/>
            <rFont val="Tahoma"/>
            <family val="2"/>
          </rPr>
          <t xml:space="preserve">One of the following:
</t>
        </r>
        <r>
          <rPr>
            <sz val="9"/>
            <color indexed="81"/>
            <rFont val="Tahoma"/>
            <family val="2"/>
          </rPr>
          <t>• M1/M2
• Chemistry
• Combined Science
• Geography
• Physics</t>
        </r>
      </text>
    </comment>
    <comment ref="T46" authorId="1" shapeId="0" xr:uid="{9415209F-E687-43D9-81C2-803F6D850AEA}">
      <text>
        <r>
          <rPr>
            <b/>
            <sz val="9"/>
            <color indexed="81"/>
            <rFont val="Tahoma"/>
            <family val="2"/>
          </rPr>
          <t xml:space="preserve">One of the following:
</t>
        </r>
        <r>
          <rPr>
            <sz val="9"/>
            <color indexed="81"/>
            <rFont val="Tahoma"/>
            <family val="2"/>
          </rPr>
          <t xml:space="preserve">• M1/M2
• Biology
• Chemistry
• Combined Science
• Geography
• Integrated Science
• Physics
</t>
        </r>
      </text>
    </comment>
    <comment ref="C47" authorId="0" shapeId="0" xr:uid="{EFA0510B-77D4-4243-BEC2-AF8631A2A141}">
      <text>
        <r>
          <rPr>
            <b/>
            <sz val="9"/>
            <color indexed="81"/>
            <rFont val="Tahoma"/>
            <family val="2"/>
          </rPr>
          <t>Good performance in M1/M2 will attract an additional bonus</t>
        </r>
        <r>
          <rPr>
            <sz val="9"/>
            <color indexed="81"/>
            <rFont val="Tahoma"/>
            <family val="2"/>
          </rPr>
          <t xml:space="preserve">
</t>
        </r>
      </text>
    </comment>
    <comment ref="E47" authorId="0" shapeId="0" xr:uid="{BAE5501B-D3C4-4EA6-81E0-6A6E6B081CE0}">
      <text>
        <r>
          <rPr>
            <b/>
            <sz val="9"/>
            <color indexed="81"/>
            <rFont val="Tahoma"/>
            <family val="2"/>
          </rPr>
          <t>The programme places much heavier emphasis on M1 or M2</t>
        </r>
        <r>
          <rPr>
            <sz val="9"/>
            <color indexed="81"/>
            <rFont val="Tahoma"/>
            <family val="2"/>
          </rPr>
          <t xml:space="preserve">
</t>
        </r>
        <r>
          <rPr>
            <b/>
            <sz val="9"/>
            <color indexed="81"/>
            <rFont val="Tahoma"/>
            <family val="2"/>
          </rPr>
          <t>(</t>
        </r>
        <r>
          <rPr>
            <b/>
            <sz val="9"/>
            <color indexed="81"/>
            <rFont val="細明體"/>
            <family val="3"/>
            <charset val="136"/>
          </rPr>
          <t>此處作</t>
        </r>
        <r>
          <rPr>
            <b/>
            <sz val="9"/>
            <color indexed="81"/>
            <rFont val="Tahoma"/>
            <family val="2"/>
          </rPr>
          <t>x2)</t>
        </r>
      </text>
    </comment>
    <comment ref="S47" authorId="1" shapeId="0" xr:uid="{2D16B54B-BCD3-4D03-AEE1-F2E19F72CCBD}">
      <text>
        <r>
          <rPr>
            <b/>
            <sz val="9"/>
            <color indexed="81"/>
            <rFont val="Tahoma"/>
            <family val="2"/>
          </rPr>
          <t xml:space="preserve">One of the following:
</t>
        </r>
        <r>
          <rPr>
            <sz val="9"/>
            <color indexed="81"/>
            <rFont val="Tahoma"/>
            <family val="2"/>
          </rPr>
          <t xml:space="preserve">• Biology
• Chemistry
• Combined Science
• Economics
• Geography
• ICT
• Integrated Science
• Physics
• Tech and Living (FST)
</t>
        </r>
      </text>
    </comment>
    <comment ref="T47" authorId="1" shapeId="0" xr:uid="{593AE03E-DA40-43B7-B598-039181550430}">
      <text>
        <r>
          <rPr>
            <b/>
            <sz val="9"/>
            <color indexed="81"/>
            <rFont val="Tahoma"/>
            <family val="2"/>
          </rPr>
          <t>Lv.4 in M1/M2 is required</t>
        </r>
        <r>
          <rPr>
            <sz val="9"/>
            <color indexed="81"/>
            <rFont val="Tahoma"/>
            <family val="2"/>
          </rPr>
          <t xml:space="preserve">
</t>
        </r>
      </text>
    </comment>
    <comment ref="C48" authorId="0" shapeId="0" xr:uid="{1F73C7E9-0886-4F54-BA83-C0FC6DAE7061}">
      <text>
        <r>
          <rPr>
            <b/>
            <sz val="9"/>
            <color indexed="81"/>
            <rFont val="Tahoma"/>
            <family val="2"/>
          </rPr>
          <t>(a) M1/M2 is preferred</t>
        </r>
        <r>
          <rPr>
            <sz val="9"/>
            <color indexed="81"/>
            <rFont val="Tahoma"/>
            <family val="2"/>
          </rPr>
          <t xml:space="preserve">
</t>
        </r>
      </text>
    </comment>
    <comment ref="E48" authorId="0" shapeId="0" xr:uid="{956988D5-65C9-470E-B67D-F4765DBB1170}">
      <text>
        <r>
          <rPr>
            <b/>
            <sz val="9"/>
            <color indexed="81"/>
            <rFont val="Tahoma"/>
            <family val="2"/>
          </rPr>
          <t>Subjects with heavier weighting:
• Mathematics
• M1 or M2
• Physics
(</t>
        </r>
        <r>
          <rPr>
            <b/>
            <sz val="9"/>
            <color indexed="81"/>
            <rFont val="細明體"/>
            <family val="3"/>
            <charset val="136"/>
          </rPr>
          <t>此處作</t>
        </r>
        <r>
          <rPr>
            <b/>
            <sz val="9"/>
            <color indexed="81"/>
            <rFont val="Tahoma"/>
            <family val="2"/>
          </rPr>
          <t>x1.5)</t>
        </r>
      </text>
    </comment>
    <comment ref="M48" authorId="0" shapeId="0" xr:uid="{F2F4CD9F-F379-4778-9FD6-84719F4C5C44}">
      <text>
        <r>
          <rPr>
            <b/>
            <sz val="9"/>
            <color indexed="81"/>
            <rFont val="Tahoma"/>
            <family val="2"/>
          </rPr>
          <t>May require interview and/or test</t>
        </r>
        <r>
          <rPr>
            <sz val="9"/>
            <color indexed="81"/>
            <rFont val="Tahoma"/>
            <family val="2"/>
          </rPr>
          <t xml:space="preserve">
</t>
        </r>
      </text>
    </comment>
    <comment ref="S48" authorId="1" shapeId="0" xr:uid="{52E7637C-4B74-4DD5-B2C0-36DE0F282AD5}">
      <text>
        <r>
          <rPr>
            <b/>
            <sz val="9"/>
            <color indexed="81"/>
            <rFont val="Tahoma"/>
            <family val="2"/>
          </rPr>
          <t>Lv.4 in Physics is required</t>
        </r>
      </text>
    </comment>
    <comment ref="T48" authorId="1" shapeId="0" xr:uid="{F1E541F0-7159-41D0-99C2-DBA2A1EB3CA9}">
      <text>
        <r>
          <rPr>
            <b/>
            <sz val="9"/>
            <color indexed="81"/>
            <rFont val="Tahoma"/>
            <family val="2"/>
          </rPr>
          <t xml:space="preserve">One of the following:
</t>
        </r>
        <r>
          <rPr>
            <sz val="9"/>
            <color indexed="81"/>
            <rFont val="Tahoma"/>
            <family val="2"/>
          </rPr>
          <t xml:space="preserve">• M1/M2 (Preferred)
• Biology
• Chemistry
• Combined Science
• Economics
• Geography
• ICT
• Integrated Science
• Tech and Living (FST)
</t>
        </r>
      </text>
    </comment>
    <comment ref="C49" authorId="0" shapeId="0" xr:uid="{71AE1BAC-9C7B-46BD-A6DE-D98BA0273F7C}">
      <text>
        <r>
          <rPr>
            <b/>
            <sz val="9"/>
            <color indexed="81"/>
            <rFont val="Tahoma"/>
            <family val="2"/>
          </rPr>
          <t>Category A subjects only</t>
        </r>
        <r>
          <rPr>
            <sz val="9"/>
            <color indexed="81"/>
            <rFont val="Tahoma"/>
            <family val="2"/>
          </rPr>
          <t xml:space="preserve">
</t>
        </r>
      </text>
    </comment>
    <comment ref="E49" authorId="0" shapeId="0" xr:uid="{759333F5-9CB4-44D5-80CC-A2D731192BE0}">
      <text>
        <r>
          <rPr>
            <b/>
            <sz val="9"/>
            <color indexed="81"/>
            <rFont val="Tahoma"/>
            <family val="2"/>
          </rPr>
          <t>Mathematics (x 2)
M1 or M2 (x 2)</t>
        </r>
        <r>
          <rPr>
            <sz val="9"/>
            <color indexed="81"/>
            <rFont val="Tahoma"/>
            <family val="2"/>
          </rPr>
          <t xml:space="preserve">
</t>
        </r>
      </text>
    </comment>
    <comment ref="S49" authorId="1" shapeId="0" xr:uid="{C1C17F21-FE94-49CA-8D5B-4EB5887790F0}">
      <text>
        <r>
          <rPr>
            <b/>
            <sz val="9"/>
            <color indexed="81"/>
            <rFont val="Tahoma"/>
            <family val="2"/>
          </rPr>
          <t>Category A</t>
        </r>
        <r>
          <rPr>
            <sz val="9"/>
            <color indexed="81"/>
            <rFont val="Tahoma"/>
            <family val="2"/>
          </rPr>
          <t xml:space="preserve"> subjects only
</t>
        </r>
      </text>
    </comment>
    <comment ref="T49" authorId="1" shapeId="0" xr:uid="{3F04C04B-64D9-454C-B8E1-CB913F9BF078}">
      <text>
        <r>
          <rPr>
            <b/>
            <sz val="9"/>
            <color indexed="81"/>
            <rFont val="Tahoma"/>
            <family val="2"/>
          </rPr>
          <t>Lv.3 in M1/2 is required</t>
        </r>
      </text>
    </comment>
    <comment ref="E50" authorId="0" shapeId="0" xr:uid="{2FD8B67A-E813-4A27-9CAD-ABC5977872FF}">
      <text>
        <r>
          <rPr>
            <b/>
            <sz val="9"/>
            <color indexed="81"/>
            <rFont val="Tahoma"/>
            <family val="2"/>
          </rPr>
          <t>English (x 1.3)</t>
        </r>
        <r>
          <rPr>
            <sz val="9"/>
            <color indexed="81"/>
            <rFont val="Tahoma"/>
            <family val="2"/>
          </rPr>
          <t xml:space="preserve">
</t>
        </r>
      </text>
    </comment>
    <comment ref="E51" authorId="0" shapeId="0" xr:uid="{FE92F37D-0D27-4280-8488-2A709A18156D}">
      <text>
        <r>
          <rPr>
            <b/>
            <sz val="9"/>
            <color indexed="81"/>
            <rFont val="Tahoma"/>
            <family val="2"/>
          </rPr>
          <t>English (x 1.5)
Mathematics (x 1.5)</t>
        </r>
        <r>
          <rPr>
            <sz val="9"/>
            <color indexed="81"/>
            <rFont val="Tahoma"/>
            <family val="2"/>
          </rPr>
          <t xml:space="preserve">
</t>
        </r>
      </text>
    </comment>
    <comment ref="M51" authorId="0" shapeId="0" xr:uid="{73EB4489-355A-4E77-8915-926C45A9C288}">
      <text>
        <r>
          <rPr>
            <sz val="9"/>
            <color indexed="81"/>
            <rFont val="Tahoma"/>
            <family val="2"/>
          </rPr>
          <t xml:space="preserve">Applicants are not required but encouraged to </t>
        </r>
        <r>
          <rPr>
            <b/>
            <sz val="9"/>
            <color indexed="81"/>
            <rFont val="Tahoma"/>
            <family val="2"/>
          </rPr>
          <t>submit a design portfolio</t>
        </r>
        <r>
          <rPr>
            <sz val="9"/>
            <color indexed="81"/>
            <rFont val="Tahoma"/>
            <family val="2"/>
          </rPr>
          <t xml:space="preserve"> to the General Office of the School of Architecture directly. Portfolio guidelines and additional information can be found on the School website
</t>
        </r>
      </text>
    </comment>
    <comment ref="E52" authorId="0" shapeId="0" xr:uid="{AAAA2341-0DF3-42C3-A722-D194F9985B49}">
      <text>
        <r>
          <rPr>
            <b/>
            <sz val="9"/>
            <color indexed="81"/>
            <rFont val="Tahoma"/>
            <family val="2"/>
          </rPr>
          <t>Mathematics (x 1.5)
The best one subject of M1/M2, Chemistry, Economics or Physics (x 1.5)</t>
        </r>
      </text>
    </comment>
    <comment ref="E53" authorId="0" shapeId="0" xr:uid="{9B0FA083-8BC7-45D5-84C9-4EBEA7C446A4}">
      <text>
        <r>
          <rPr>
            <b/>
            <sz val="9"/>
            <color indexed="81"/>
            <rFont val="Tahoma"/>
            <family val="2"/>
          </rPr>
          <t>English (x 1.5)</t>
        </r>
        <r>
          <rPr>
            <sz val="9"/>
            <color indexed="81"/>
            <rFont val="Tahoma"/>
            <family val="2"/>
          </rPr>
          <t xml:space="preserve">
</t>
        </r>
      </text>
    </comment>
    <comment ref="E55" authorId="0" shapeId="0" xr:uid="{DCD6651E-B8CF-4C8E-8614-BEE5026E0B60}">
      <text>
        <r>
          <rPr>
            <b/>
            <sz val="9"/>
            <color indexed="81"/>
            <rFont val="Tahoma"/>
            <family val="2"/>
          </rPr>
          <t>English (x 1.5)
Chinese (x 1.25) Liberal Studies (x 1.25)</t>
        </r>
        <r>
          <rPr>
            <sz val="9"/>
            <color indexed="81"/>
            <rFont val="Tahoma"/>
            <family val="2"/>
          </rPr>
          <t xml:space="preserve">
</t>
        </r>
      </text>
    </comment>
    <comment ref="E56" authorId="0" shapeId="0" xr:uid="{A070BCAB-76E0-4D53-83AF-3BAA4D919B18}">
      <text>
        <r>
          <rPr>
            <b/>
            <sz val="9"/>
            <color indexed="81"/>
            <rFont val="Tahoma"/>
            <family val="2"/>
          </rPr>
          <t>English (x 1.3)
Chinese (x 1.3)</t>
        </r>
        <r>
          <rPr>
            <sz val="9"/>
            <color indexed="81"/>
            <rFont val="Tahoma"/>
            <family val="2"/>
          </rPr>
          <t xml:space="preserve">
</t>
        </r>
      </text>
    </comment>
    <comment ref="E57" authorId="0" shapeId="0" xr:uid="{D7C2FD80-B20D-4246-ACA5-8411F2FA0737}">
      <text>
        <r>
          <rPr>
            <b/>
            <sz val="9"/>
            <color indexed="81"/>
            <rFont val="Tahoma"/>
            <family val="2"/>
          </rPr>
          <t>English (x 1.3)</t>
        </r>
        <r>
          <rPr>
            <sz val="9"/>
            <color indexed="81"/>
            <rFont val="Tahoma"/>
            <family val="2"/>
          </rPr>
          <t xml:space="preserve">
</t>
        </r>
      </text>
    </comment>
    <comment ref="E58" authorId="0" shapeId="0" xr:uid="{92E2E9F5-1618-45B9-9300-F1A924B0FC5F}">
      <text>
        <r>
          <rPr>
            <b/>
            <sz val="9"/>
            <color indexed="81"/>
            <rFont val="Tahoma"/>
            <family val="2"/>
          </rPr>
          <t>English (x 1.5)
Mathematics (x 1.5)</t>
        </r>
      </text>
    </comment>
    <comment ref="E60" authorId="0" shapeId="0" xr:uid="{BA17A35A-CD86-4AE7-8D17-60457AA515C8}">
      <text>
        <r>
          <rPr>
            <b/>
            <sz val="9"/>
            <color indexed="81"/>
            <rFont val="Tahoma"/>
            <family val="2"/>
          </rPr>
          <t>English (x 1.5)
Liberal Studies (x 1.5)</t>
        </r>
        <r>
          <rPr>
            <sz val="9"/>
            <color indexed="81"/>
            <rFont val="Tahoma"/>
            <family val="2"/>
          </rPr>
          <t xml:space="preserve">
</t>
        </r>
      </text>
    </comment>
    <comment ref="E61" authorId="0" shapeId="0" xr:uid="{464CD6E6-EB96-477D-9AD4-CBDD594DCEA0}">
      <text>
        <r>
          <rPr>
            <b/>
            <sz val="9"/>
            <color indexed="81"/>
            <rFont val="Tahoma"/>
            <family val="2"/>
          </rPr>
          <t>English (x 1.5)</t>
        </r>
        <r>
          <rPr>
            <sz val="9"/>
            <color indexed="81"/>
            <rFont val="Tahoma"/>
            <family val="2"/>
          </rPr>
          <t xml:space="preserve">
</t>
        </r>
      </text>
    </comment>
    <comment ref="E63" authorId="0" shapeId="0" xr:uid="{A544F0D5-7142-40E5-8158-2BDF5760D1A6}">
      <text>
        <r>
          <rPr>
            <b/>
            <sz val="9"/>
            <color indexed="81"/>
            <rFont val="Tahoma"/>
            <family val="2"/>
          </rPr>
          <t>English (x 2)
Chinese (x 1.5)
Liberal Studies (x 2)</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author>
    <author>Michael Chan</author>
  </authors>
  <commentList>
    <comment ref="L1" authorId="0" shapeId="0" xr:uid="{874C990B-A99D-48F2-8394-B44DF7C093A6}">
      <text>
        <r>
          <rPr>
            <b/>
            <sz val="9"/>
            <color indexed="81"/>
            <rFont val="Tahoma"/>
            <family val="2"/>
          </rPr>
          <t>2019</t>
        </r>
        <r>
          <rPr>
            <b/>
            <sz val="9"/>
            <color indexed="81"/>
            <rFont val="細明體"/>
            <family val="3"/>
            <charset val="136"/>
          </rPr>
          <t>年</t>
        </r>
        <r>
          <rPr>
            <b/>
            <sz val="9"/>
            <color indexed="81"/>
            <rFont val="Tahoma"/>
            <family val="2"/>
          </rPr>
          <t xml:space="preserve"> JUPAS Band A </t>
        </r>
        <r>
          <rPr>
            <b/>
            <sz val="9"/>
            <color indexed="81"/>
            <rFont val="細明體"/>
            <family val="3"/>
            <charset val="136"/>
          </rPr>
          <t>收生人數</t>
        </r>
        <r>
          <rPr>
            <sz val="9"/>
            <color indexed="81"/>
            <rFont val="Tahoma"/>
            <family val="2"/>
          </rPr>
          <t xml:space="preserve">
</t>
        </r>
      </text>
    </comment>
    <comment ref="E2" authorId="1" shapeId="0" xr:uid="{C1AE76EC-4BCF-4E31-8624-1E9E0010B249}">
      <text>
        <r>
          <rPr>
            <b/>
            <sz val="9"/>
            <color indexed="81"/>
            <rFont val="細明體"/>
            <family val="3"/>
            <charset val="136"/>
          </rPr>
          <t>英文</t>
        </r>
        <r>
          <rPr>
            <b/>
            <sz val="9"/>
            <color indexed="81"/>
            <rFont val="Tahoma"/>
            <family val="2"/>
          </rPr>
          <t xml:space="preserve"> x1 </t>
        </r>
        <r>
          <rPr>
            <b/>
            <sz val="9"/>
            <color indexed="81"/>
            <rFont val="細明體"/>
            <family val="3"/>
            <charset val="136"/>
          </rPr>
          <t>數學</t>
        </r>
        <r>
          <rPr>
            <b/>
            <sz val="9"/>
            <color indexed="81"/>
            <rFont val="Tahoma"/>
            <family val="2"/>
          </rPr>
          <t xml:space="preserve"> x1
+</t>
        </r>
        <r>
          <rPr>
            <b/>
            <sz val="9"/>
            <color indexed="81"/>
            <rFont val="細明體"/>
            <family val="3"/>
            <charset val="136"/>
          </rPr>
          <t xml:space="preserve">
最佳兩科</t>
        </r>
        <r>
          <rPr>
            <b/>
            <sz val="9"/>
            <color indexed="81"/>
            <rFont val="Tahoma"/>
            <family val="2"/>
          </rPr>
          <t xml:space="preserve"> x1
(</t>
        </r>
        <r>
          <rPr>
            <sz val="9"/>
            <color indexed="81"/>
            <rFont val="Tahoma"/>
            <family val="2"/>
          </rPr>
          <t xml:space="preserve">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
</t>
        </r>
        <r>
          <rPr>
            <b/>
            <sz val="9"/>
            <color indexed="81"/>
            <rFont val="細明體"/>
            <family val="3"/>
            <charset val="136"/>
          </rPr>
          <t>最佳一科</t>
        </r>
        <r>
          <rPr>
            <b/>
            <sz val="9"/>
            <color indexed="81"/>
            <rFont val="Tahoma"/>
            <family val="2"/>
          </rPr>
          <t xml:space="preserve"> x1</t>
        </r>
        <r>
          <rPr>
            <sz val="9"/>
            <color indexed="81"/>
            <rFont val="Tahoma"/>
            <family val="2"/>
          </rPr>
          <t xml:space="preserve">
</t>
        </r>
      </text>
    </comment>
    <comment ref="S2" authorId="1" shapeId="0" xr:uid="{BD6F2E26-6C79-4907-8554-DE447F77CB08}">
      <text>
        <r>
          <rPr>
            <b/>
            <sz val="9"/>
            <color indexed="81"/>
            <rFont val="細明體"/>
            <family val="3"/>
            <charset val="136"/>
          </rPr>
          <t>以下兩科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text>
    </comment>
    <comment ref="T2" authorId="1" shapeId="0" xr:uid="{C967A123-8663-4027-BBA9-F9264E1E2BE8}">
      <text>
        <r>
          <rPr>
            <b/>
            <sz val="9"/>
            <color indexed="81"/>
            <rFont val="細明體"/>
            <family val="3"/>
            <charset val="136"/>
          </rPr>
          <t>以下兩科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E3" authorId="1" shapeId="0" xr:uid="{2F4212EE-B732-4FC6-9E9C-BD6FB3AC4F48}">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F3" authorId="1" shapeId="0" xr:uid="{F7774D26-E134-49D8-8BD6-EE980C85437F}">
      <text>
        <r>
          <rPr>
            <sz val="9"/>
            <color indexed="81"/>
            <rFont val="細明體"/>
            <family val="3"/>
            <charset val="136"/>
          </rPr>
          <t>以</t>
        </r>
        <r>
          <rPr>
            <b/>
            <sz val="9"/>
            <color indexed="81"/>
            <rFont val="Tahoma"/>
            <family val="2"/>
          </rPr>
          <t>19</t>
        </r>
        <r>
          <rPr>
            <b/>
            <sz val="9"/>
            <color indexed="81"/>
            <rFont val="細明體"/>
            <family val="3"/>
            <charset val="136"/>
          </rPr>
          <t>年分數及比重</t>
        </r>
        <r>
          <rPr>
            <sz val="9"/>
            <color indexed="81"/>
            <rFont val="細明體"/>
            <family val="3"/>
            <charset val="136"/>
          </rPr>
          <t xml:space="preserve">計算
</t>
        </r>
        <r>
          <rPr>
            <b/>
            <sz val="9"/>
            <color indexed="81"/>
            <rFont val="Tahoma"/>
            <family val="2"/>
          </rPr>
          <t>2020</t>
        </r>
        <r>
          <rPr>
            <b/>
            <sz val="9"/>
            <color indexed="81"/>
            <rFont val="細明體"/>
            <family val="3"/>
            <charset val="136"/>
          </rPr>
          <t>年</t>
        </r>
        <r>
          <rPr>
            <b/>
            <sz val="9"/>
            <color indexed="81"/>
            <rFont val="Tahoma"/>
            <family val="2"/>
          </rPr>
          <t>:</t>
        </r>
        <r>
          <rPr>
            <sz val="9"/>
            <color indexed="81"/>
            <rFont val="細明體"/>
            <family val="3"/>
            <charset val="136"/>
          </rPr>
          <t xml:space="preserve">
</t>
        </r>
        <r>
          <rPr>
            <b/>
            <sz val="9"/>
            <color indexed="81"/>
            <rFont val="Tahoma"/>
            <family val="2"/>
          </rPr>
          <t>A</t>
        </r>
        <r>
          <rPr>
            <b/>
            <sz val="9"/>
            <color indexed="81"/>
            <rFont val="細明體"/>
            <family val="3"/>
            <charset val="136"/>
          </rPr>
          <t>組</t>
        </r>
        <r>
          <rPr>
            <b/>
            <sz val="9"/>
            <color indexed="81"/>
            <rFont val="Tahoma"/>
            <family val="2"/>
          </rPr>
          <t xml:space="preserve">: </t>
        </r>
        <r>
          <rPr>
            <b/>
            <sz val="9"/>
            <color indexed="81"/>
            <rFont val="細明體"/>
            <family val="3"/>
            <charset val="136"/>
          </rPr>
          <t>物理及</t>
        </r>
        <r>
          <rPr>
            <b/>
            <sz val="9"/>
            <color indexed="81"/>
            <rFont val="Tahoma"/>
            <family val="2"/>
          </rPr>
          <t>M1/2</t>
        </r>
        <r>
          <rPr>
            <sz val="9"/>
            <color indexed="81"/>
            <rFont val="細明體"/>
            <family val="3"/>
            <charset val="136"/>
          </rPr>
          <t>比重更高</t>
        </r>
        <r>
          <rPr>
            <sz val="9"/>
            <color indexed="81"/>
            <rFont val="Tahoma"/>
            <family val="2"/>
          </rPr>
          <t xml:space="preserve">
</t>
        </r>
      </text>
    </comment>
    <comment ref="K3" authorId="0" shapeId="0" xr:uid="{8231F291-C636-4B75-AEBB-19159AAEB31A}">
      <text>
        <r>
          <rPr>
            <b/>
            <sz val="9"/>
            <color indexed="81"/>
            <rFont val="Tahoma"/>
            <family val="2"/>
          </rPr>
          <t>Combined Figure for JS5102 &amp; JS5103</t>
        </r>
      </text>
    </comment>
    <comment ref="S3" authorId="1" shapeId="0" xr:uid="{BB68502D-D5DD-4801-80B6-C17E332CA6E7}">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E4" authorId="1" shapeId="0" xr:uid="{14DA6631-6849-4CA6-8361-911548281CB2}">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t>
        </r>
        <r>
          <rPr>
            <sz val="9"/>
            <color indexed="81"/>
            <rFont val="細明體"/>
            <family val="3"/>
            <charset val="136"/>
          </rPr>
          <t xml:space="preserve">
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x2
(M1/2 /</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 x1</t>
        </r>
      </text>
    </comment>
    <comment ref="F4" authorId="1" shapeId="0" xr:uid="{70E906B3-D5CC-4E2C-8C26-146E22244A73}">
      <text>
        <r>
          <rPr>
            <sz val="9"/>
            <color indexed="81"/>
            <rFont val="細明體"/>
            <family val="3"/>
            <charset val="136"/>
          </rPr>
          <t>以</t>
        </r>
        <r>
          <rPr>
            <b/>
            <sz val="9"/>
            <color indexed="81"/>
            <rFont val="Tahoma"/>
            <family val="2"/>
          </rPr>
          <t>19</t>
        </r>
        <r>
          <rPr>
            <b/>
            <sz val="9"/>
            <color indexed="81"/>
            <rFont val="細明體"/>
            <family val="3"/>
            <charset val="136"/>
          </rPr>
          <t>年分數及比重</t>
        </r>
        <r>
          <rPr>
            <sz val="9"/>
            <color indexed="81"/>
            <rFont val="細明體"/>
            <family val="3"/>
            <charset val="136"/>
          </rPr>
          <t xml:space="preserve">計算
</t>
        </r>
        <r>
          <rPr>
            <b/>
            <sz val="9"/>
            <color indexed="81"/>
            <rFont val="細明體"/>
            <family val="3"/>
            <charset val="136"/>
          </rPr>
          <t xml:space="preserve">
</t>
        </r>
        <r>
          <rPr>
            <b/>
            <sz val="9"/>
            <color indexed="81"/>
            <rFont val="Tahoma"/>
            <family val="2"/>
          </rPr>
          <t>2020</t>
        </r>
        <r>
          <rPr>
            <b/>
            <sz val="9"/>
            <color indexed="81"/>
            <rFont val="細明體"/>
            <family val="3"/>
            <charset val="136"/>
          </rPr>
          <t>年</t>
        </r>
        <r>
          <rPr>
            <b/>
            <sz val="9"/>
            <color indexed="81"/>
            <rFont val="Tahoma"/>
            <family val="2"/>
          </rPr>
          <t>:</t>
        </r>
        <r>
          <rPr>
            <sz val="9"/>
            <color indexed="81"/>
            <rFont val="Tahoma"/>
            <family val="2"/>
          </rPr>
          <t xml:space="preserve">
</t>
        </r>
        <r>
          <rPr>
            <b/>
            <sz val="9"/>
            <color indexed="81"/>
            <rFont val="Tahoma"/>
            <family val="2"/>
          </rPr>
          <t>B</t>
        </r>
        <r>
          <rPr>
            <b/>
            <sz val="9"/>
            <color indexed="81"/>
            <rFont val="細明體"/>
            <family val="3"/>
            <charset val="136"/>
          </rPr>
          <t>組</t>
        </r>
        <r>
          <rPr>
            <b/>
            <sz val="9"/>
            <color indexed="81"/>
            <rFont val="Tahoma"/>
            <family val="2"/>
          </rPr>
          <t>:</t>
        </r>
        <r>
          <rPr>
            <sz val="9"/>
            <color indexed="81"/>
            <rFont val="Tahoma"/>
            <family val="2"/>
          </rPr>
          <t xml:space="preserve"> </t>
        </r>
        <r>
          <rPr>
            <b/>
            <sz val="9"/>
            <color indexed="81"/>
            <rFont val="細明體"/>
            <family val="3"/>
            <charset val="136"/>
          </rPr>
          <t>生物及化學</t>
        </r>
        <r>
          <rPr>
            <sz val="9"/>
            <color indexed="81"/>
            <rFont val="細明體"/>
            <family val="3"/>
            <charset val="136"/>
          </rPr>
          <t>比重更高</t>
        </r>
        <r>
          <rPr>
            <sz val="9"/>
            <color indexed="81"/>
            <rFont val="Tahoma"/>
            <family val="2"/>
          </rPr>
          <t xml:space="preserve">
</t>
        </r>
      </text>
    </comment>
    <comment ref="S4" authorId="1" shapeId="0" xr:uid="{C7E35A04-7A0D-41DD-B607-8C6E701A5106}">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E5" authorId="1" shapeId="0" xr:uid="{97A2C162-C039-4B34-9B85-57966C982B6D}">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S5" authorId="1" shapeId="0" xr:uid="{D1979D94-3D3A-4675-B8FF-9BED63E60364}">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 ref="E6" authorId="1" shapeId="0" xr:uid="{020C3E30-ABF1-4441-AEFE-F57C046F848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/DAT)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t>
        </r>
      </text>
    </comment>
    <comment ref="S6" authorId="1" shapeId="0" xr:uid="{56BC7ADD-BDA6-4790-9416-796092C613E2}">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 / DAT</t>
        </r>
      </text>
    </comment>
    <comment ref="E7" authorId="1" shapeId="0" xr:uid="{F2E4870B-C411-4B30-888D-5DB547C84525}">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8" authorId="1" shapeId="0" xr:uid="{7D63D557-5BB1-4D8F-9AFF-1D9FC0EDBA86}">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K8" authorId="0" shapeId="0" xr:uid="{26E5F7F5-ECDE-48CE-9F4A-A8D4016D1D40}">
      <text>
        <r>
          <rPr>
            <b/>
            <sz val="9"/>
            <color indexed="81"/>
            <rFont val="Tahoma"/>
            <family val="2"/>
          </rPr>
          <t>Combined Figure</t>
        </r>
        <r>
          <rPr>
            <sz val="9"/>
            <color indexed="81"/>
            <rFont val="Tahoma"/>
            <family val="2"/>
          </rPr>
          <t xml:space="preserve"> for JS6767, 6781 &amp; 6860</t>
        </r>
      </text>
    </comment>
    <comment ref="E9" authorId="1" shapeId="0" xr:uid="{57E5F8F1-8E0E-4655-A259-A781444866F6}">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E10" authorId="1" shapeId="0" xr:uid="{FBD13DC1-1DA4-436F-B153-002B15F77386}">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11" authorId="1" shapeId="0" xr:uid="{C83E2AB5-D7E2-4C7F-81BC-A0E48046EA13}">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12" authorId="1" shapeId="0" xr:uid="{29AD17E1-660A-4284-ABE2-AD984B9C4FB7}">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13" authorId="1" shapeId="0" xr:uid="{A049EEF2-A789-4FEB-B63A-51FE42E3A522}">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14" authorId="1" shapeId="0" xr:uid="{58CF183E-D182-40C0-9204-814738B56BB8}">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15" authorId="1" shapeId="0" xr:uid="{88B8797A-F3F8-404D-A2DC-4F62985C66A2}">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16" authorId="1" shapeId="0" xr:uid="{A6F6AE6B-02BD-48B5-A3D1-4495A4504B77}">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E17" authorId="1" shapeId="0" xr:uid="{142D6D27-741B-4262-83E5-8CB8297EC371}">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E18" authorId="1" shapeId="0" xr:uid="{2C1BA95C-18B5-48FD-A809-5F2F2EB7EEBD}">
      <text>
        <r>
          <rPr>
            <sz val="9"/>
            <color indexed="81"/>
            <rFont val="細明體"/>
            <family val="3"/>
            <charset val="136"/>
          </rPr>
          <t>英文</t>
        </r>
        <r>
          <rPr>
            <sz val="9"/>
            <color indexed="81"/>
            <rFont val="Tahoma"/>
            <family val="2"/>
          </rPr>
          <t xml:space="preserve"> x2 </t>
        </r>
        <r>
          <rPr>
            <sz val="9"/>
            <color indexed="81"/>
            <rFont val="細明體"/>
            <family val="3"/>
            <charset val="136"/>
          </rPr>
          <t>中文</t>
        </r>
        <r>
          <rPr>
            <sz val="9"/>
            <color indexed="81"/>
            <rFont val="Tahoma"/>
            <family val="2"/>
          </rPr>
          <t xml:space="preserve"> x1.5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E19" authorId="1" shapeId="0" xr:uid="{0D3E4132-FB70-4E47-A378-FF750DB34FB9}">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E20" authorId="1" shapeId="0" xr:uid="{13F6B088-A439-4EB3-9BB5-92632CE5249B}">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最佳下列理科</t>
        </r>
        <r>
          <rPr>
            <sz val="9"/>
            <color indexed="81"/>
            <rFont val="Tahoma"/>
            <family val="2"/>
          </rPr>
          <t xml:space="preserve"> x1.5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ml:space="preserve">)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t>
        </r>
      </text>
    </comment>
    <comment ref="S20" authorId="0" shapeId="0" xr:uid="{F52B9B9E-FABD-474E-875B-7FD0EFDEABAB}">
      <text>
        <r>
          <rPr>
            <b/>
            <sz val="9"/>
            <color indexed="81"/>
            <rFont val="細明體"/>
            <family val="3"/>
            <charset val="136"/>
          </rPr>
          <t>以下一科</t>
        </r>
        <r>
          <rPr>
            <b/>
            <sz val="9"/>
            <color indexed="81"/>
            <rFont val="Tahoma"/>
            <family val="2"/>
          </rPr>
          <t>:</t>
        </r>
        <r>
          <rPr>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text>
    </comment>
    <comment ref="E21" authorId="1" shapeId="0" xr:uid="{FDD18AAC-9F28-4F71-97B1-E1DE86D033E4}">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E22" authorId="1" shapeId="0" xr:uid="{4D4B0150-E282-480D-AB05-DA966AA424D8}">
      <text>
        <r>
          <rPr>
            <b/>
            <sz val="9"/>
            <color indexed="81"/>
            <rFont val="細明體"/>
            <family val="3"/>
            <charset val="136"/>
          </rPr>
          <t>英文</t>
        </r>
        <r>
          <rPr>
            <b/>
            <sz val="9"/>
            <color indexed="81"/>
            <rFont val="Tahoma"/>
            <family val="2"/>
          </rPr>
          <t xml:space="preserve"> x2 </t>
        </r>
        <r>
          <rPr>
            <b/>
            <sz val="9"/>
            <color indexed="81"/>
            <rFont val="細明體"/>
            <family val="3"/>
            <charset val="136"/>
          </rPr>
          <t>數學</t>
        </r>
        <r>
          <rPr>
            <b/>
            <sz val="9"/>
            <color indexed="81"/>
            <rFont val="Tahoma"/>
            <family val="2"/>
          </rPr>
          <t xml:space="preserve"> x2</t>
        </r>
        <r>
          <rPr>
            <sz val="9"/>
            <color indexed="81"/>
            <rFont val="Tahoma"/>
            <family val="2"/>
          </rPr>
          <t xml:space="preserve">
+
</t>
        </r>
        <r>
          <rPr>
            <b/>
            <sz val="9"/>
            <color indexed="81"/>
            <rFont val="Tahoma"/>
            <family val="2"/>
          </rPr>
          <t>M1/2 x 2</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最佳下列科目</t>
        </r>
        <r>
          <rPr>
            <b/>
            <sz val="9"/>
            <color indexed="81"/>
            <rFont val="Tahoma"/>
            <family val="2"/>
          </rPr>
          <t xml:space="preserve"> x1.5</t>
        </r>
        <r>
          <rPr>
            <sz val="9"/>
            <color indexed="81"/>
            <rFont val="Tahoma"/>
            <family val="2"/>
          </rPr>
          <t xml:space="preserve">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綜合科學</t>
        </r>
        <r>
          <rPr>
            <sz val="9"/>
            <color indexed="81"/>
            <rFont val="Tahoma"/>
            <family val="2"/>
          </rPr>
          <t>/</t>
        </r>
        <r>
          <rPr>
            <sz val="9"/>
            <color indexed="81"/>
            <rFont val="細明體"/>
            <family val="3"/>
            <charset val="136"/>
          </rPr>
          <t>經濟</t>
        </r>
        <r>
          <rPr>
            <sz val="9"/>
            <color indexed="81"/>
            <rFont val="Tahoma"/>
            <family val="2"/>
          </rPr>
          <t xml:space="preserve">)
+
</t>
        </r>
        <r>
          <rPr>
            <b/>
            <sz val="9"/>
            <color indexed="81"/>
            <rFont val="細明體"/>
            <family val="3"/>
            <charset val="136"/>
          </rPr>
          <t>最佳</t>
        </r>
        <r>
          <rPr>
            <b/>
            <sz val="9"/>
            <color indexed="81"/>
            <rFont val="Tahoma"/>
            <family val="2"/>
          </rPr>
          <t>3</t>
        </r>
        <r>
          <rPr>
            <b/>
            <sz val="9"/>
            <color indexed="81"/>
            <rFont val="細明體"/>
            <family val="3"/>
            <charset val="136"/>
          </rPr>
          <t>科</t>
        </r>
        <r>
          <rPr>
            <b/>
            <sz val="9"/>
            <color indexed="81"/>
            <rFont val="Tahoma"/>
            <family val="2"/>
          </rPr>
          <t xml:space="preserve"> x1</t>
        </r>
        <r>
          <rPr>
            <sz val="9"/>
            <color indexed="81"/>
            <rFont val="Tahoma"/>
            <family val="2"/>
          </rPr>
          <t xml:space="preserve">
</t>
        </r>
      </text>
    </comment>
    <comment ref="S22" authorId="1" shapeId="0" xr:uid="{B29DED27-B96B-4F83-945E-587BAC86143A}">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綜合科學</t>
        </r>
        <r>
          <rPr>
            <sz val="9"/>
            <color indexed="81"/>
            <rFont val="Tahoma"/>
            <family val="2"/>
          </rPr>
          <t xml:space="preserve">/
</t>
        </r>
        <r>
          <rPr>
            <sz val="9"/>
            <color indexed="81"/>
            <rFont val="細明體"/>
            <family val="3"/>
            <charset val="136"/>
          </rPr>
          <t>經濟</t>
        </r>
        <r>
          <rPr>
            <sz val="9"/>
            <color indexed="81"/>
            <rFont val="Tahoma"/>
            <family val="2"/>
          </rPr>
          <t>/ M1/2</t>
        </r>
      </text>
    </comment>
    <comment ref="E23" authorId="1" shapeId="0" xr:uid="{CE171256-CBE7-4B14-91C9-727A3D1E0CE9}">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E24" authorId="1" shapeId="0" xr:uid="{A3EB57B9-BAAC-4A5C-943F-FB6960768DC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(M1/2 x1.5)
</t>
        </r>
      </text>
    </comment>
    <comment ref="S24" authorId="1" shapeId="0" xr:uid="{74F4F88B-F556-4788-B597-C65F9CD5AB0B}">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List>
</comments>
</file>

<file path=xl/sharedStrings.xml><?xml version="1.0" encoding="utf-8"?>
<sst xmlns="http://schemas.openxmlformats.org/spreadsheetml/2006/main" count="7128" uniqueCount="1548">
  <si>
    <t>請輸入你的成績:</t>
    <phoneticPr fontId="2" type="noConversion"/>
  </si>
  <si>
    <t>英國語文</t>
    <phoneticPr fontId="2" type="noConversion"/>
  </si>
  <si>
    <t>中國語文</t>
    <phoneticPr fontId="2" type="noConversion"/>
  </si>
  <si>
    <t>數學</t>
    <phoneticPr fontId="2" type="noConversion"/>
  </si>
  <si>
    <t>通識教育</t>
    <phoneticPr fontId="2" type="noConversion"/>
  </si>
  <si>
    <t>核心科目</t>
    <phoneticPr fontId="2" type="noConversion"/>
  </si>
  <si>
    <t>選修科目</t>
    <phoneticPr fontId="2" type="noConversion"/>
  </si>
  <si>
    <t>中國文學</t>
  </si>
  <si>
    <t>生物</t>
  </si>
  <si>
    <t>企業、會計與財務概論</t>
  </si>
  <si>
    <t>英語文學</t>
  </si>
  <si>
    <t>化學</t>
  </si>
  <si>
    <t>設計與應用科技</t>
  </si>
  <si>
    <t>中國歷史</t>
  </si>
  <si>
    <t>物理</t>
  </si>
  <si>
    <t>健康管理與社會關懷</t>
  </si>
  <si>
    <t>經濟</t>
  </si>
  <si>
    <t>資訊及通訊科技</t>
  </si>
  <si>
    <t>倫理與宗教</t>
  </si>
  <si>
    <t>科技與生活</t>
  </si>
  <si>
    <t>地理</t>
  </si>
  <si>
    <t>音樂</t>
  </si>
  <si>
    <t>歷史</t>
  </si>
  <si>
    <t>視覺藝術</t>
  </si>
  <si>
    <t>旅遊與款待</t>
  </si>
  <si>
    <t>體育</t>
  </si>
  <si>
    <t>綜合科學</t>
  </si>
  <si>
    <t>第四選修科</t>
  </si>
  <si>
    <t>丙類選修科</t>
  </si>
  <si>
    <t>等級</t>
    <phoneticPr fontId="4" type="noConversion"/>
  </si>
  <si>
    <t>JUPAS</t>
    <phoneticPr fontId="4" type="noConversion"/>
  </si>
  <si>
    <t>法語</t>
  </si>
  <si>
    <t>5**</t>
    <phoneticPr fontId="4" type="noConversion"/>
  </si>
  <si>
    <t>A</t>
    <phoneticPr fontId="4" type="noConversion"/>
  </si>
  <si>
    <t>A1</t>
    <phoneticPr fontId="4" type="noConversion"/>
  </si>
  <si>
    <t>日語</t>
  </si>
  <si>
    <t>5*</t>
    <phoneticPr fontId="4" type="noConversion"/>
  </si>
  <si>
    <t>B</t>
    <phoneticPr fontId="4" type="noConversion"/>
  </si>
  <si>
    <t>A2</t>
    <phoneticPr fontId="4" type="noConversion"/>
  </si>
  <si>
    <t>德語</t>
  </si>
  <si>
    <t>C</t>
    <phoneticPr fontId="4" type="noConversion"/>
  </si>
  <si>
    <t>A3</t>
    <phoneticPr fontId="4" type="noConversion"/>
  </si>
  <si>
    <t>印地語</t>
  </si>
  <si>
    <t>D</t>
    <phoneticPr fontId="4" type="noConversion"/>
  </si>
  <si>
    <t>B4</t>
    <phoneticPr fontId="4" type="noConversion"/>
  </si>
  <si>
    <t>西班牙語</t>
  </si>
  <si>
    <t>E</t>
    <phoneticPr fontId="4" type="noConversion"/>
  </si>
  <si>
    <t>B5</t>
    <phoneticPr fontId="4" type="noConversion"/>
  </si>
  <si>
    <t>烏爾都語</t>
  </si>
  <si>
    <t>U</t>
    <phoneticPr fontId="4" type="noConversion"/>
  </si>
  <si>
    <t>B6</t>
    <phoneticPr fontId="4" type="noConversion"/>
  </si>
  <si>
    <t>C7</t>
    <phoneticPr fontId="4" type="noConversion"/>
  </si>
  <si>
    <t>C8</t>
    <phoneticPr fontId="4" type="noConversion"/>
  </si>
  <si>
    <t>C9</t>
    <phoneticPr fontId="4" type="noConversion"/>
  </si>
  <si>
    <t>C10</t>
    <phoneticPr fontId="4" type="noConversion"/>
  </si>
  <si>
    <t>D11</t>
    <phoneticPr fontId="4" type="noConversion"/>
  </si>
  <si>
    <t>D12</t>
    <phoneticPr fontId="4" type="noConversion"/>
  </si>
  <si>
    <t>D13</t>
    <phoneticPr fontId="4" type="noConversion"/>
  </si>
  <si>
    <t>D14</t>
    <phoneticPr fontId="4" type="noConversion"/>
  </si>
  <si>
    <t>D15</t>
    <phoneticPr fontId="4" type="noConversion"/>
  </si>
  <si>
    <t>E16</t>
    <phoneticPr fontId="4" type="noConversion"/>
  </si>
  <si>
    <t>E17</t>
    <phoneticPr fontId="4" type="noConversion"/>
  </si>
  <si>
    <t>E18</t>
    <phoneticPr fontId="4" type="noConversion"/>
  </si>
  <si>
    <t>E19</t>
    <phoneticPr fontId="4" type="noConversion"/>
  </si>
  <si>
    <t>E20</t>
    <phoneticPr fontId="4" type="noConversion"/>
  </si>
  <si>
    <t>請選擇排序</t>
    <phoneticPr fontId="4" type="noConversion"/>
  </si>
  <si>
    <t>請選擇等級</t>
  </si>
  <si>
    <t>請選擇等級</t>
    <phoneticPr fontId="4" type="noConversion"/>
  </si>
  <si>
    <t>請選擇語言科目</t>
    <phoneticPr fontId="2" type="noConversion"/>
  </si>
  <si>
    <t>請選擇第一選修科</t>
    <phoneticPr fontId="2" type="noConversion"/>
  </si>
  <si>
    <t>請選擇第二選修科</t>
    <phoneticPr fontId="2" type="noConversion"/>
  </si>
  <si>
    <t>請選擇第三選修科</t>
    <phoneticPr fontId="2" type="noConversion"/>
  </si>
  <si>
    <t>請選擇第四選修科</t>
    <phoneticPr fontId="2" type="noConversion"/>
  </si>
  <si>
    <t>第一選修科</t>
    <phoneticPr fontId="2" type="noConversion"/>
  </si>
  <si>
    <t>第二選修科</t>
    <phoneticPr fontId="2" type="noConversion"/>
  </si>
  <si>
    <t>第三選修科</t>
    <phoneticPr fontId="2" type="noConversion"/>
  </si>
  <si>
    <t>丙類科目等級</t>
    <phoneticPr fontId="4" type="noConversion"/>
  </si>
  <si>
    <t>組合科學 (物理、化學)</t>
    <phoneticPr fontId="2" type="noConversion"/>
  </si>
  <si>
    <t>組合科學 (生物、化學)</t>
    <phoneticPr fontId="2" type="noConversion"/>
  </si>
  <si>
    <t>組合科學 (物理、生物)</t>
    <phoneticPr fontId="2" type="noConversion"/>
  </si>
  <si>
    <t>Best 6</t>
    <phoneticPr fontId="2" type="noConversion"/>
  </si>
  <si>
    <t>分數概覽</t>
    <phoneticPr fontId="2" type="noConversion"/>
  </si>
  <si>
    <t>Best 5</t>
    <phoneticPr fontId="2" type="noConversion"/>
  </si>
  <si>
    <t>4C+2X</t>
    <phoneticPr fontId="2" type="noConversion"/>
  </si>
  <si>
    <t>4C+1X</t>
    <phoneticPr fontId="2" type="noConversion"/>
  </si>
  <si>
    <t>^不計算語言科目</t>
    <phoneticPr fontId="2" type="noConversion"/>
  </si>
  <si>
    <t>數學延伸</t>
    <phoneticPr fontId="2" type="noConversion"/>
  </si>
  <si>
    <t>M1/2</t>
    <phoneticPr fontId="2" type="noConversion"/>
  </si>
  <si>
    <t xml:space="preserve">Best 5 </t>
    <phoneticPr fontId="2" type="noConversion"/>
  </si>
  <si>
    <t>4C+2X (M)</t>
    <phoneticPr fontId="2" type="noConversion"/>
  </si>
  <si>
    <t>Best 5 (M)</t>
    <phoneticPr fontId="2" type="noConversion"/>
  </si>
  <si>
    <t>Best 6 (M)</t>
    <phoneticPr fontId="2" type="noConversion"/>
  </si>
  <si>
    <t>4C+1X (M)</t>
    <phoneticPr fontId="2" type="noConversion"/>
  </si>
  <si>
    <t>包括M1/2</t>
    <phoneticPr fontId="2" type="noConversion"/>
  </si>
  <si>
    <t>JS4006</t>
  </si>
  <si>
    <t>人類學</t>
  </si>
  <si>
    <t>JS4018</t>
  </si>
  <si>
    <t>中國語言及文學</t>
  </si>
  <si>
    <t>JS4020</t>
  </si>
  <si>
    <t>文化研究</t>
  </si>
  <si>
    <t>JS4022</t>
  </si>
  <si>
    <t>文化管理</t>
  </si>
  <si>
    <t>JS4032</t>
  </si>
  <si>
    <t>JS4044</t>
  </si>
  <si>
    <t>藝術</t>
  </si>
  <si>
    <t>JS4056</t>
  </si>
  <si>
    <t>JS4068</t>
  </si>
  <si>
    <t>日本研究</t>
  </si>
  <si>
    <t>JS4070</t>
  </si>
  <si>
    <t>JS4082</t>
  </si>
  <si>
    <t>JS4094</t>
  </si>
  <si>
    <t>JS4109</t>
  </si>
  <si>
    <t>JS4111</t>
  </si>
  <si>
    <t>JS4123</t>
  </si>
  <si>
    <t>翻譯</t>
  </si>
  <si>
    <t>JS4202</t>
  </si>
  <si>
    <t>工商管理學士綜合課程</t>
  </si>
  <si>
    <t>JS4214</t>
  </si>
  <si>
    <t>環球商業學</t>
  </si>
  <si>
    <t>JS4226</t>
  </si>
  <si>
    <t>JS4240</t>
  </si>
  <si>
    <t>JS4254</t>
  </si>
  <si>
    <t>環球經濟與金融跨學科主修課程</t>
  </si>
  <si>
    <t>JS4276</t>
  </si>
  <si>
    <t>JS4288</t>
  </si>
  <si>
    <t>國際貿易與中國企業</t>
  </si>
  <si>
    <t>JS4329</t>
  </si>
  <si>
    <t>JS4331</t>
  </si>
  <si>
    <t>文學士及教育學士 (中國語文教育) 同期結業雙學位課程</t>
  </si>
  <si>
    <t>JS4343</t>
  </si>
  <si>
    <t>文學士(英國語文研究)及教育學士(英國語文教育)</t>
  </si>
  <si>
    <t>JS4361</t>
  </si>
  <si>
    <t>教育學士(數學及數學教育)</t>
  </si>
  <si>
    <t>JS4401</t>
  </si>
  <si>
    <t>JS4501</t>
  </si>
  <si>
    <t>JS4502</t>
  </si>
  <si>
    <t>JS4513</t>
  </si>
  <si>
    <t>護理學</t>
  </si>
  <si>
    <t>JS4525</t>
  </si>
  <si>
    <t>藥劑學</t>
  </si>
  <si>
    <t>JS4537</t>
  </si>
  <si>
    <t>公共衞生</t>
  </si>
  <si>
    <t>JS4542</t>
  </si>
  <si>
    <t>中醫學</t>
  </si>
  <si>
    <t>JS4601</t>
  </si>
  <si>
    <t>理學</t>
  </si>
  <si>
    <t>JS4682</t>
  </si>
  <si>
    <t>JS4690</t>
  </si>
  <si>
    <t>JS4719</t>
  </si>
  <si>
    <t>風險管理科學</t>
  </si>
  <si>
    <t>JS4801</t>
  </si>
  <si>
    <t>社會科學</t>
  </si>
  <si>
    <t>JS4812</t>
  </si>
  <si>
    <t>建築學</t>
  </si>
  <si>
    <t>JS4824</t>
  </si>
  <si>
    <t>JS4836</t>
  </si>
  <si>
    <t>JS4838</t>
  </si>
  <si>
    <t>城市研究</t>
  </si>
  <si>
    <t>JS4848</t>
  </si>
  <si>
    <t>政治與行政學</t>
  </si>
  <si>
    <t>JS4850</t>
  </si>
  <si>
    <t>新聞與傳播學</t>
  </si>
  <si>
    <t>JS4862</t>
  </si>
  <si>
    <t>心理學</t>
  </si>
  <si>
    <t>JS4874</t>
  </si>
  <si>
    <t>社會工作學</t>
  </si>
  <si>
    <t>JS4886</t>
  </si>
  <si>
    <t>社會學</t>
  </si>
  <si>
    <t>JS4903</t>
  </si>
  <si>
    <t>法學士</t>
  </si>
  <si>
    <t>英文</t>
  </si>
  <si>
    <t>語言學</t>
  </si>
  <si>
    <t>哲學</t>
  </si>
  <si>
    <t>宗教研究</t>
  </si>
  <si>
    <t>神學</t>
  </si>
  <si>
    <t>酒店旅遊及房地產</t>
  </si>
  <si>
    <t>JS4238</t>
  </si>
  <si>
    <t>保險、金融與精算學</t>
  </si>
  <si>
    <t>專業會計學</t>
  </si>
  <si>
    <t>JS4252</t>
  </si>
  <si>
    <t>計量金融學</t>
  </si>
  <si>
    <t>JS4264</t>
  </si>
  <si>
    <t>工商管理學士（工商管理學士綜合課程）及法律博士</t>
  </si>
  <si>
    <t>計量金融學及風險管理科學</t>
  </si>
  <si>
    <t>JS4428</t>
  </si>
  <si>
    <t>金融科技學</t>
  </si>
  <si>
    <t>JS4434</t>
  </si>
  <si>
    <t>電子工程學</t>
  </si>
  <si>
    <t>JS4460</t>
  </si>
  <si>
    <t>生物醫學工程學</t>
  </si>
  <si>
    <t>JS4462</t>
  </si>
  <si>
    <t>能源與環境工程學</t>
  </si>
  <si>
    <t>內外全科醫學士課程</t>
  </si>
  <si>
    <t>內外全科醫學士課程環球醫學領袖培訓專修組別</t>
  </si>
  <si>
    <t>JS4550</t>
  </si>
  <si>
    <t>生物醫學</t>
  </si>
  <si>
    <t>JS4633</t>
  </si>
  <si>
    <t>地球系統科學 (大氣科學 / 地球物理)</t>
  </si>
  <si>
    <t>數學精研</t>
  </si>
  <si>
    <t>理論物理精研</t>
  </si>
  <si>
    <t>經濟學</t>
  </si>
  <si>
    <t>地理與資源管理學</t>
  </si>
  <si>
    <t>JS4858</t>
  </si>
  <si>
    <t>全球傳播</t>
  </si>
  <si>
    <t>JS4892</t>
  </si>
  <si>
    <t>全球研究</t>
  </si>
  <si>
    <t>教育學士(幼兒教育)</t>
  </si>
  <si>
    <t>數據科學與政策研究</t>
  </si>
  <si>
    <t>JS4136</t>
  </si>
  <si>
    <t>中國研究</t>
  </si>
  <si>
    <t>健康與體育運動科學</t>
  </si>
  <si>
    <t>JS4372</t>
  </si>
  <si>
    <t>JS4468</t>
  </si>
  <si>
    <t>JS4893</t>
  </si>
  <si>
    <t>Best 5</t>
  </si>
  <si>
    <t>4C2X</t>
  </si>
  <si>
    <t>工程學 (大類收生)</t>
  </si>
  <si>
    <t>人工智能：系統與科技 (工程學士)</t>
  </si>
  <si>
    <t>CUHK</t>
    <phoneticPr fontId="2" type="noConversion"/>
  </si>
  <si>
    <t>總分</t>
    <phoneticPr fontId="2" type="noConversion"/>
  </si>
  <si>
    <t>4C2X</t>
    <phoneticPr fontId="2" type="noConversion"/>
  </si>
  <si>
    <t>企業、會計與財務概論</t>
    <phoneticPr fontId="2" type="noConversion"/>
  </si>
  <si>
    <t>中英較高者</t>
    <phoneticPr fontId="2" type="noConversion"/>
  </si>
  <si>
    <t>較高者</t>
    <phoneticPr fontId="2" type="noConversion"/>
  </si>
  <si>
    <t>第一最高</t>
    <phoneticPr fontId="2" type="noConversion"/>
  </si>
  <si>
    <t>第二最高</t>
    <phoneticPr fontId="2" type="noConversion"/>
  </si>
  <si>
    <t>第三最高</t>
    <phoneticPr fontId="2" type="noConversion"/>
  </si>
  <si>
    <t>最高選修</t>
    <phoneticPr fontId="2" type="noConversion"/>
  </si>
  <si>
    <t>編號</t>
  </si>
  <si>
    <t>計分方式</t>
  </si>
  <si>
    <t>你的分數</t>
  </si>
  <si>
    <t>JS6004</t>
  </si>
  <si>
    <t>建築學文學士</t>
  </si>
  <si>
    <t>JS6016</t>
  </si>
  <si>
    <t>理學士(測量學)</t>
  </si>
  <si>
    <t>JS6028</t>
  </si>
  <si>
    <t>園境學文學士</t>
  </si>
  <si>
    <t>JS6030</t>
  </si>
  <si>
    <t>文學士(建築文物保護)</t>
  </si>
  <si>
    <t>JS6042</t>
  </si>
  <si>
    <t>文學士(城市研究)</t>
  </si>
  <si>
    <t>JS6054</t>
  </si>
  <si>
    <t>文學士</t>
  </si>
  <si>
    <t>JS6066</t>
  </si>
  <si>
    <t>文學士及教育學士(語文教育) - 英文教育 (雙學位課程)</t>
  </si>
  <si>
    <t>JS6078</t>
  </si>
  <si>
    <t>文學士及法學士 (雙學位課程)</t>
  </si>
  <si>
    <t>JS6080</t>
  </si>
  <si>
    <t>文學士及教育學士(語文教育) - 中文教育 (雙學位課程)</t>
  </si>
  <si>
    <t>JS6092</t>
  </si>
  <si>
    <t>教育學士(幼兒教育及特殊教育)</t>
  </si>
  <si>
    <t>JS6107</t>
  </si>
  <si>
    <t>牙醫學士</t>
  </si>
  <si>
    <t>JS6119</t>
  </si>
  <si>
    <t>教育學士及理學士 (雙學位課程)</t>
  </si>
  <si>
    <t>JS6157</t>
  </si>
  <si>
    <t>理學士(言語及聽覺科學)</t>
  </si>
  <si>
    <t>JS6195</t>
  </si>
  <si>
    <t>教育學士及社會科學學士 (雙學位課程)</t>
  </si>
  <si>
    <t>JS6212</t>
  </si>
  <si>
    <t>文理學士</t>
  </si>
  <si>
    <t>JS6224</t>
  </si>
  <si>
    <t>文理學士(應用人工智能)</t>
  </si>
  <si>
    <t>JS6236</t>
  </si>
  <si>
    <t>文理學士(設計＋)</t>
  </si>
  <si>
    <t>JS6248</t>
  </si>
  <si>
    <t>文理學士(金融科技)</t>
  </si>
  <si>
    <t>JS6250</t>
  </si>
  <si>
    <t>文理學士(環球衞生及發展)</t>
  </si>
  <si>
    <t>JS6406</t>
  </si>
  <si>
    <t>JS6456</t>
  </si>
  <si>
    <t>內外全科醫學士</t>
  </si>
  <si>
    <t>JS6468</t>
  </si>
  <si>
    <t>護理學學士</t>
  </si>
  <si>
    <t>JS6482</t>
  </si>
  <si>
    <t>中醫全科學士</t>
  </si>
  <si>
    <t>JS6494</t>
  </si>
  <si>
    <t>藥劑學學士</t>
  </si>
  <si>
    <t>JS6717</t>
  </si>
  <si>
    <t>社會科學學士</t>
  </si>
  <si>
    <t>JS6729</t>
  </si>
  <si>
    <t>理學士(精算學)</t>
  </si>
  <si>
    <t>JS6731</t>
  </si>
  <si>
    <t>社會工作學學士</t>
  </si>
  <si>
    <t>JS6767</t>
  </si>
  <si>
    <t>經濟學學士 / 經濟金融學學士</t>
  </si>
  <si>
    <t>JS6781</t>
  </si>
  <si>
    <t>工商管理學學士 / 工商管理學學士(會計及財務)</t>
  </si>
  <si>
    <t>JS6793</t>
  </si>
  <si>
    <t>工商管理學學士(資訊系統)</t>
  </si>
  <si>
    <t>JS6808</t>
  </si>
  <si>
    <t>工商管理學學士(法學)及法學士 (雙學位課程)</t>
  </si>
  <si>
    <t>JS6810</t>
  </si>
  <si>
    <t>社會科學學士(政治學與法學)及法學士 (雙學位課程)</t>
  </si>
  <si>
    <t>JS6822</t>
  </si>
  <si>
    <t>新聞學學士</t>
  </si>
  <si>
    <t>JS6860</t>
  </si>
  <si>
    <t>金融學學士(資產管理及私人銀行)</t>
  </si>
  <si>
    <t>JS6884</t>
  </si>
  <si>
    <t>理學士(計量金融)</t>
  </si>
  <si>
    <t>JS6896</t>
  </si>
  <si>
    <t>工商管理學學士(國際商業及環球管理)</t>
  </si>
  <si>
    <t>JS6901</t>
  </si>
  <si>
    <t>理學士</t>
  </si>
  <si>
    <t>JS6925</t>
  </si>
  <si>
    <t>工學學士(生物醫學工程)</t>
  </si>
  <si>
    <t>JS6937</t>
  </si>
  <si>
    <t>環球工程與商業課程</t>
  </si>
  <si>
    <t>JS6949</t>
  </si>
  <si>
    <t>生物醫學學士</t>
  </si>
  <si>
    <t>JS6951</t>
  </si>
  <si>
    <t>工學學士(工程科學)</t>
  </si>
  <si>
    <t>JS6963</t>
  </si>
  <si>
    <t>工學學士</t>
  </si>
  <si>
    <t>文學院</t>
  </si>
  <si>
    <t>商學院</t>
  </si>
  <si>
    <t>商學院/社會科學院</t>
  </si>
  <si>
    <t>商學院/法學院</t>
  </si>
  <si>
    <t>商學院/理學院</t>
  </si>
  <si>
    <t>教育學院</t>
  </si>
  <si>
    <t>工程學院</t>
  </si>
  <si>
    <t>醫學院</t>
  </si>
  <si>
    <t>理學院</t>
  </si>
  <si>
    <t>社會科學院</t>
  </si>
  <si>
    <t>法學院</t>
  </si>
  <si>
    <t>學院</t>
  </si>
  <si>
    <t>UQ</t>
  </si>
  <si>
    <t>Median</t>
  </si>
  <si>
    <t>LQ</t>
  </si>
  <si>
    <t>Bachelor of Laws</t>
  </si>
  <si>
    <t>Anthropology</t>
  </si>
  <si>
    <t>Chinese Language and Literature</t>
  </si>
  <si>
    <t>Cultural Studies</t>
  </si>
  <si>
    <t>Cultural Management</t>
  </si>
  <si>
    <t>English</t>
  </si>
  <si>
    <t>Fine Arts</t>
  </si>
  <si>
    <t>History</t>
  </si>
  <si>
    <t>Japanese Studies</t>
  </si>
  <si>
    <t>Linguistics</t>
  </si>
  <si>
    <t>Music</t>
  </si>
  <si>
    <t>Philosophy</t>
  </si>
  <si>
    <t>Religious Studies</t>
  </si>
  <si>
    <t>Theology</t>
  </si>
  <si>
    <t>Translation</t>
  </si>
  <si>
    <t>Chinese Studies</t>
  </si>
  <si>
    <t>Integrated Bachelor of Business Administration Programme</t>
  </si>
  <si>
    <t>Global Business Studies</t>
  </si>
  <si>
    <t>Hospitality and Real EstateUPDATED</t>
  </si>
  <si>
    <t>Insurance, Financial and Actuarial Analysis</t>
  </si>
  <si>
    <t>Professional AccountancyUPDATED</t>
  </si>
  <si>
    <t>Quantitative Finance</t>
  </si>
  <si>
    <t>Interdisciplinary Major Programme in Global Economics and Finance</t>
  </si>
  <si>
    <t>Bachelor of Business Administration (Integrated BBA Programme) and Juris Doctor Double Degree Programme</t>
  </si>
  <si>
    <t>Quantitative Finance and Risk Management Science</t>
  </si>
  <si>
    <t>International Business and Chinese Enterprise</t>
  </si>
  <si>
    <t>Physical Education, Exercise Science and Health</t>
  </si>
  <si>
    <t>B.A. (Chinese Language Studies) and B.Ed. (Chinese Language Education)</t>
  </si>
  <si>
    <t>B.A. (English Studies) and B.Ed. (English Language Education)</t>
  </si>
  <si>
    <t>B.Ed. in Mathematics and Mathematics Education</t>
  </si>
  <si>
    <t>B.Ed. in Early Childhood Education</t>
  </si>
  <si>
    <t>Engineering</t>
  </si>
  <si>
    <t>BEng in Financial Technology</t>
  </si>
  <si>
    <t>BEng in Electronic Engineering</t>
  </si>
  <si>
    <t>BEng in Biomedical Engineering</t>
  </si>
  <si>
    <t>BEng in Energy and Environmental Engineering</t>
  </si>
  <si>
    <t>BEng in Artificial Intelligence: Systems and Technologies</t>
  </si>
  <si>
    <t>Medicine (MBChB) Programme</t>
  </si>
  <si>
    <t>Medicine (MBChB) Programme Global Physician-Leadership Stream (GPS)</t>
  </si>
  <si>
    <t>Nursing</t>
  </si>
  <si>
    <t>Pharmacy</t>
  </si>
  <si>
    <t>Public Health</t>
  </si>
  <si>
    <t>Chinese Medicine</t>
  </si>
  <si>
    <t>Biomedical Sciences</t>
  </si>
  <si>
    <t>Science</t>
  </si>
  <si>
    <t>Earth System Science (Atmospheric Science / Geophysics)</t>
  </si>
  <si>
    <t>Enrichment Mathematics</t>
  </si>
  <si>
    <t>Enrichment Stream in Theoretical Physics</t>
  </si>
  <si>
    <t>Risk Management Science</t>
  </si>
  <si>
    <t>Social Science</t>
  </si>
  <si>
    <t>Architectural Studies</t>
  </si>
  <si>
    <t>Economics</t>
  </si>
  <si>
    <t>Geography and Resource Management</t>
  </si>
  <si>
    <t>Urban Studies</t>
  </si>
  <si>
    <t>Government and Public AdministrationUPDATED</t>
  </si>
  <si>
    <t>Journalism and Communication</t>
  </si>
  <si>
    <t>Global Communication</t>
  </si>
  <si>
    <t>Psychology</t>
  </si>
  <si>
    <t>Social Work</t>
  </si>
  <si>
    <t>Sociology</t>
  </si>
  <si>
    <t>Global Studies</t>
  </si>
  <si>
    <t>Data Science and Policy Studies</t>
  </si>
  <si>
    <t>JS4862</t>
    <phoneticPr fontId="2" type="noConversion"/>
  </si>
  <si>
    <t>數學精研</t>
    <phoneticPr fontId="2" type="noConversion"/>
  </si>
  <si>
    <t>/</t>
    <phoneticPr fontId="2" type="noConversion"/>
  </si>
  <si>
    <t>學額</t>
    <phoneticPr fontId="2" type="noConversion"/>
  </si>
  <si>
    <t>4C3X</t>
    <phoneticPr fontId="2" type="noConversion"/>
  </si>
  <si>
    <t>差距(Median)</t>
  </si>
  <si>
    <t>差距(Median)</t>
    <phoneticPr fontId="2" type="noConversion"/>
  </si>
  <si>
    <t>差距(UQ)</t>
    <phoneticPr fontId="2" type="noConversion"/>
  </si>
  <si>
    <t>差距(LQ)</t>
    <phoneticPr fontId="2" type="noConversion"/>
  </si>
  <si>
    <t>課程/學科</t>
    <phoneticPr fontId="2" type="noConversion"/>
  </si>
  <si>
    <t>重考扣分</t>
    <phoneticPr fontId="2" type="noConversion"/>
  </si>
  <si>
    <t>5%或更少</t>
    <phoneticPr fontId="2" type="noConversion"/>
  </si>
  <si>
    <t>UQ</t>
    <phoneticPr fontId="2" type="noConversion"/>
  </si>
  <si>
    <t>6%-10%</t>
    <phoneticPr fontId="2" type="noConversion"/>
  </si>
  <si>
    <t>中</t>
    <phoneticPr fontId="2" type="noConversion"/>
  </si>
  <si>
    <t>英</t>
    <phoneticPr fontId="2" type="noConversion"/>
  </si>
  <si>
    <t>數</t>
    <phoneticPr fontId="2" type="noConversion"/>
  </si>
  <si>
    <t>通</t>
    <phoneticPr fontId="2" type="noConversion"/>
  </si>
  <si>
    <t>E1</t>
    <phoneticPr fontId="2" type="noConversion"/>
  </si>
  <si>
    <t>E2</t>
    <phoneticPr fontId="2" type="noConversion"/>
  </si>
  <si>
    <t>資訊及通訊科技</t>
    <phoneticPr fontId="2" type="noConversion"/>
  </si>
  <si>
    <t>設計與應用科技</t>
    <phoneticPr fontId="2" type="noConversion"/>
  </si>
  <si>
    <t>科技與生活</t>
    <phoneticPr fontId="2" type="noConversion"/>
  </si>
  <si>
    <t>資格</t>
    <phoneticPr fontId="2" type="noConversion"/>
  </si>
  <si>
    <t>放榜後面試</t>
    <phoneticPr fontId="2" type="noConversion"/>
  </si>
  <si>
    <t>-</t>
    <phoneticPr fontId="2" type="noConversion"/>
  </si>
  <si>
    <t>有</t>
    <phoneticPr fontId="2" type="noConversion"/>
  </si>
  <si>
    <t>建築學院</t>
    <phoneticPr fontId="2" type="noConversion"/>
  </si>
  <si>
    <t>經濟及工商管理學院</t>
  </si>
  <si>
    <t>教育學院</t>
    <phoneticPr fontId="2" type="noConversion"/>
  </si>
  <si>
    <t>法律學院</t>
    <phoneticPr fontId="2" type="noConversion"/>
  </si>
  <si>
    <t>工程學院</t>
    <phoneticPr fontId="2" type="noConversion"/>
  </si>
  <si>
    <t>醫學院</t>
    <phoneticPr fontId="2" type="noConversion"/>
  </si>
  <si>
    <t>理學院</t>
    <phoneticPr fontId="2" type="noConversion"/>
  </si>
  <si>
    <t>社會科學院</t>
    <phoneticPr fontId="2" type="noConversion"/>
  </si>
  <si>
    <t>文理學士學位</t>
    <phoneticPr fontId="2" type="noConversion"/>
  </si>
  <si>
    <t>Best 5^</t>
    <phoneticPr fontId="2" type="noConversion"/>
  </si>
  <si>
    <t>4C2X^</t>
    <phoneticPr fontId="2" type="noConversion"/>
  </si>
  <si>
    <t>總分</t>
  </si>
  <si>
    <t>等級</t>
  </si>
  <si>
    <t>無加分制</t>
    <phoneticPr fontId="2" type="noConversion"/>
  </si>
  <si>
    <t>HKU</t>
    <phoneticPr fontId="2" type="noConversion"/>
  </si>
  <si>
    <t>工商管理學學士(國際商業及環球管理)</t>
    <phoneticPr fontId="2" type="noConversion"/>
  </si>
  <si>
    <t>最高理科</t>
    <phoneticPr fontId="2" type="noConversion"/>
  </si>
  <si>
    <t>MA+(M1/2*0.5) /2</t>
    <phoneticPr fontId="2" type="noConversion"/>
  </si>
  <si>
    <t>19年</t>
    <phoneticPr fontId="2" type="noConversion"/>
  </si>
  <si>
    <t>綜</t>
    <phoneticPr fontId="2" type="noConversion"/>
  </si>
  <si>
    <t>綜+資</t>
    <phoneticPr fontId="2" type="noConversion"/>
  </si>
  <si>
    <t>有?</t>
    <phoneticPr fontId="2" type="noConversion"/>
  </si>
  <si>
    <t>物+組</t>
    <phoneticPr fontId="2" type="noConversion"/>
  </si>
  <si>
    <t>化+組</t>
    <phoneticPr fontId="2" type="noConversion"/>
  </si>
  <si>
    <t>JS3337</t>
  </si>
  <si>
    <t>JS3349</t>
  </si>
  <si>
    <t>JS3351</t>
  </si>
  <si>
    <t>JS3375</t>
  </si>
  <si>
    <t>JS3387</t>
  </si>
  <si>
    <t>JS3442</t>
  </si>
  <si>
    <t>JS3466</t>
  </si>
  <si>
    <t>JS3478</t>
  </si>
  <si>
    <t>JS3492</t>
  </si>
  <si>
    <t>JS3507</t>
  </si>
  <si>
    <t>JS3519</t>
  </si>
  <si>
    <t>JS3533</t>
  </si>
  <si>
    <t>JS3557</t>
  </si>
  <si>
    <t>JS3569</t>
  </si>
  <si>
    <t>JS3571</t>
  </si>
  <si>
    <t>JS3583</t>
  </si>
  <si>
    <t>JS3595</t>
  </si>
  <si>
    <t>JS3600</t>
  </si>
  <si>
    <t>JS3612</t>
  </si>
  <si>
    <t>JS3624</t>
  </si>
  <si>
    <t>JS3636</t>
  </si>
  <si>
    <t>JS3648</t>
  </si>
  <si>
    <t>JS3650</t>
  </si>
  <si>
    <t>JS3662</t>
  </si>
  <si>
    <t>JS3674</t>
  </si>
  <si>
    <t>JS3703</t>
  </si>
  <si>
    <t>JS3715</t>
  </si>
  <si>
    <t>JS3739</t>
  </si>
  <si>
    <t>JS3741</t>
  </si>
  <si>
    <t>JS3753</t>
  </si>
  <si>
    <t>JS3765</t>
  </si>
  <si>
    <t>JS3777</t>
  </si>
  <si>
    <t>JS3789</t>
  </si>
  <si>
    <t>JS3791</t>
  </si>
  <si>
    <t>JS3806</t>
  </si>
  <si>
    <t>JS3818</t>
  </si>
  <si>
    <t>JS3820</t>
  </si>
  <si>
    <t>JS3832</t>
  </si>
  <si>
    <t>JS3868</t>
  </si>
  <si>
    <t>JS3882</t>
  </si>
  <si>
    <t>JS3894</t>
  </si>
  <si>
    <t>JS3911</t>
  </si>
  <si>
    <t>JS3923</t>
  </si>
  <si>
    <t>JS3985</t>
  </si>
  <si>
    <t>JS3997</t>
  </si>
  <si>
    <t>JS3014</t>
  </si>
  <si>
    <t>JS3026</t>
  </si>
  <si>
    <t>JS3038</t>
  </si>
  <si>
    <t>JS3040</t>
  </si>
  <si>
    <t>JS3052</t>
  </si>
  <si>
    <t>JS3064</t>
  </si>
  <si>
    <t>JS3076</t>
  </si>
  <si>
    <t>JS3105</t>
  </si>
  <si>
    <t>JS3117</t>
  </si>
  <si>
    <t>JS3284</t>
  </si>
  <si>
    <t>BSc (Hons) in Mental Health Nursing</t>
  </si>
  <si>
    <t>BSc (Hons) in Food Safety and Technology</t>
  </si>
  <si>
    <t>BEng (Hons) in Transportation Systems Engineering</t>
  </si>
  <si>
    <t>BEng (Hons) in Environmental Engineering &amp; Sustainable Development</t>
  </si>
  <si>
    <t>BSc (Hons) in Land Surveying and Geo-Informatics</t>
  </si>
  <si>
    <t>BSc (Hons) in Property Management</t>
  </si>
  <si>
    <t>BBA (Hons) in Accounting &amp; Finance</t>
  </si>
  <si>
    <t>BSc (Hons) in Medical Laboratory Science</t>
  </si>
  <si>
    <t>BA (Hons) Scheme in Fashion and TextilesUPDATED</t>
  </si>
  <si>
    <t>BEng (Hons) in Aviation Engineering</t>
  </si>
  <si>
    <t>BSc (Hons) in Internet &amp; Multimedia Technologies</t>
  </si>
  <si>
    <t>BBA (Hons) in Global Supply Chain Management</t>
  </si>
  <si>
    <t>BEng (Hons) Scheme in Product and Industrial EngineeringUPDATED</t>
  </si>
  <si>
    <t>BA (Hons) Scheme in Design</t>
  </si>
  <si>
    <t>BSc (Hons) Scheme in Logistics and Enterprise Engineering</t>
  </si>
  <si>
    <t>BBA (Hons) in Management</t>
  </si>
  <si>
    <t>BBA (Hons) in Financial Services</t>
  </si>
  <si>
    <t>BSc (Hons) in Biomedical Engineering</t>
  </si>
  <si>
    <t>BSc (Hons) in Radiography</t>
  </si>
  <si>
    <t>BSc (Hons) in Occupational Therapy</t>
  </si>
  <si>
    <t>BSc (Hons) in Physiotherapy</t>
  </si>
  <si>
    <t>BSc (Hons) in Nursing</t>
  </si>
  <si>
    <t>BSc (Hons) in Optometry</t>
  </si>
  <si>
    <t>BA (Hons) in Social Work</t>
  </si>
  <si>
    <t>BBA (Hons) in International Shipping &amp; Transport Logistics</t>
  </si>
  <si>
    <t>BEng (Hons) in Electronic &amp; Information Engineering</t>
  </si>
  <si>
    <t>BEng (Hons) in Electrical Engineering</t>
  </si>
  <si>
    <t>BEng (Hons) in Civil Engineering</t>
  </si>
  <si>
    <t>BEng (Hons) Scheme in Mechanical Engineering</t>
  </si>
  <si>
    <t>BEng (Hons) in Building Services Engineering</t>
  </si>
  <si>
    <t>BA (Hons) in Social Policy &amp; Social EntrepreneurshipUPDATED</t>
  </si>
  <si>
    <t>BEng (Hons) in Structural and Fire Safety EngineeringUPDATED</t>
  </si>
  <si>
    <t>BSc (Hons) in Surveying</t>
  </si>
  <si>
    <t>BSc (Hons) in Building Engineering and Management</t>
  </si>
  <si>
    <t>BSc (Hons) in Investment Science and Finance Analytics</t>
  </si>
  <si>
    <t>BA (Hons) in Linguistics and Translation</t>
  </si>
  <si>
    <t>BSc (Hons) in Tourism &amp; Events Management</t>
  </si>
  <si>
    <t>BA (Hons) in English Studies for the Professions</t>
  </si>
  <si>
    <t>BSc (Hons) Scheme in Computing</t>
  </si>
  <si>
    <t>BSc (Hons) in Hotel Management</t>
  </si>
  <si>
    <t>BBA (Hons) in Marketing</t>
  </si>
  <si>
    <t>BBA (Hons) in Accountancy</t>
  </si>
  <si>
    <t>BSc (Hons) in Applied Biology with Biotechnology</t>
  </si>
  <si>
    <t>BSc (Hons) in Engineering Physics</t>
  </si>
  <si>
    <t>BSc (Hons) in Chemical Technology</t>
  </si>
  <si>
    <t>精神健康護理學(榮譽)理學士學位</t>
  </si>
  <si>
    <t>食品科技與食物安全(榮譽)理學士學位</t>
  </si>
  <si>
    <t>運輸系統工程學(榮譽)工學士學位</t>
  </si>
  <si>
    <t>環境工程與可持續發展學(榮譽)工學士學位</t>
  </si>
  <si>
    <t>土地測量及地理資訊學(榮譽)理學士學位</t>
  </si>
  <si>
    <t>物業管理學(榮譽)理學士學位</t>
  </si>
  <si>
    <t>會計及金融(榮譽)工商管理學士學位</t>
  </si>
  <si>
    <t>醫療化驗科學(榮譽)理學士學位</t>
  </si>
  <si>
    <t>服裝及紡織(榮譽)文學士學位組合課程</t>
  </si>
  <si>
    <t>航空工程學(榮譽)工學士學位</t>
  </si>
  <si>
    <t>互聯網及多媒體科技(榮譽)理學士學位</t>
  </si>
  <si>
    <t>全球供應鏈管理(榮譽)工商管理學士學位</t>
  </si>
  <si>
    <t>產品及工業工程(榮譽)工學士學位組合課程</t>
  </si>
  <si>
    <t>設計學(榮譽)文學士學位組合課程</t>
  </si>
  <si>
    <t>物流及企業工程(榮譽)理學士學位組合課程</t>
  </si>
  <si>
    <t>管理學(榮譽)工商管理學士學位</t>
  </si>
  <si>
    <t>金融服務(榮譽)工商管理學士學位</t>
  </si>
  <si>
    <t>生物醫學工程(榮譽)理學士學位</t>
  </si>
  <si>
    <t>放射學(榮譽)理學士學位</t>
  </si>
  <si>
    <t>職業治療學(榮譽)理學士學位</t>
  </si>
  <si>
    <t>物理治療學(榮譽)理學士學位</t>
  </si>
  <si>
    <t>護理學(榮譽)理學士學位</t>
  </si>
  <si>
    <t>眼科視光學(榮譽)理學士學位</t>
  </si>
  <si>
    <t>社會工作(榮譽)文學士學位</t>
  </si>
  <si>
    <t>國際航運及物流管理(榮譽)工商管理學士學位</t>
  </si>
  <si>
    <t>電子及資訊工程學(榮譽)工學士學位</t>
  </si>
  <si>
    <t>電機工程學(榮譽)工學士學位</t>
  </si>
  <si>
    <t>土木工程學(榮譽)工學士學位</t>
  </si>
  <si>
    <t>機械工程(榮譽)工學士學位組合課程</t>
  </si>
  <si>
    <t>屋宇設備工程學(榮譽)工學士學位</t>
  </si>
  <si>
    <t>社會政策及社會創業(榮譽)文學士學位</t>
  </si>
  <si>
    <t>結構及消防安全工程學(榮譽)工學士學位</t>
  </si>
  <si>
    <t>地產及建設測量學(榮譽)理學士學位</t>
  </si>
  <si>
    <t>建築工程及管理學(榮譽)理學士學位</t>
  </si>
  <si>
    <t>投資科學及金融分析(榮譽)理學士學位</t>
  </si>
  <si>
    <t>語言學及翻譯學(榮譽)文學士學位</t>
  </si>
  <si>
    <t>旅遊業及會展管理(榮譽)理學士學位</t>
  </si>
  <si>
    <t>專業英文(榮譽)文學士學位</t>
  </si>
  <si>
    <t>電子計算(榮譽)理學士學位組合課程</t>
  </si>
  <si>
    <t>酒店業管理(榮譽)理學士學位</t>
  </si>
  <si>
    <t>市場學(榮譽)工商管理學士學位</t>
  </si>
  <si>
    <t>會計學(榮譽)工商管理學士學位</t>
  </si>
  <si>
    <t>應用生物兼生物科技(榮譽)理學士學位</t>
  </si>
  <si>
    <t>工程物理學(榮譽)理學士學位</t>
  </si>
  <si>
    <t>化學科技(榮譽)理學士學位</t>
  </si>
  <si>
    <t>HD in Applied Physics</t>
  </si>
  <si>
    <t>HD in Building Services Engineering</t>
  </si>
  <si>
    <t>HD in Building Technology &amp; Management (Engineering)</t>
  </si>
  <si>
    <t>HD in Civil Engineering</t>
  </si>
  <si>
    <t>HD in Electrical Engineering</t>
  </si>
  <si>
    <t>HD in Electronic &amp; Information Engineering</t>
  </si>
  <si>
    <t>HD in Land Surveying and Geo-Informatics</t>
  </si>
  <si>
    <t>HD in Industrial &amp; Systems Engineering</t>
  </si>
  <si>
    <t>HD in Building Technology &amp; Management (Surveying)</t>
  </si>
  <si>
    <t>應用物理學高級文憑</t>
  </si>
  <si>
    <t>屋宇設備工程學高級文憑</t>
  </si>
  <si>
    <t>建築科技及管理學高級文憑(工程)</t>
  </si>
  <si>
    <t>化學科技高級文憑</t>
  </si>
  <si>
    <t>土木工程學高級文憑</t>
  </si>
  <si>
    <t>電機工程學高級文憑</t>
  </si>
  <si>
    <t>電子及資訊工程學高級文憑</t>
  </si>
  <si>
    <t>土地測量及地理資訊學高級文憑</t>
  </si>
  <si>
    <t>工業及系統工程學高級文憑</t>
  </si>
  <si>
    <t>建築科技及管理學高級文憑(測量)</t>
  </si>
  <si>
    <t>Best 6</t>
  </si>
  <si>
    <t>中英+3X</t>
  </si>
  <si>
    <t>PolyU</t>
    <phoneticPr fontId="2" type="noConversion"/>
  </si>
  <si>
    <t>#C4</t>
    <phoneticPr fontId="2" type="noConversion"/>
  </si>
  <si>
    <t>#D4</t>
    <phoneticPr fontId="2" type="noConversion"/>
  </si>
  <si>
    <t>#E4</t>
    <phoneticPr fontId="2" type="noConversion"/>
  </si>
  <si>
    <t>#F4</t>
    <phoneticPr fontId="2" type="noConversion"/>
  </si>
  <si>
    <t>#G4</t>
    <phoneticPr fontId="2" type="noConversion"/>
  </si>
  <si>
    <t>#H4</t>
    <phoneticPr fontId="2" type="noConversion"/>
  </si>
  <si>
    <t>#I4</t>
    <phoneticPr fontId="2" type="noConversion"/>
  </si>
  <si>
    <t>#J4</t>
    <phoneticPr fontId="2" type="noConversion"/>
  </si>
  <si>
    <t>#K4</t>
    <phoneticPr fontId="2" type="noConversion"/>
  </si>
  <si>
    <t>#L4</t>
    <phoneticPr fontId="2" type="noConversion"/>
  </si>
  <si>
    <t>JS5101</t>
  </si>
  <si>
    <t>International Research Enrichment</t>
  </si>
  <si>
    <t>國際科研</t>
  </si>
  <si>
    <t>JS5102</t>
  </si>
  <si>
    <t>Science (Group A)</t>
  </si>
  <si>
    <t>理學Ａ組</t>
  </si>
  <si>
    <t>JS5103</t>
  </si>
  <si>
    <t>Science (Group B)</t>
  </si>
  <si>
    <t>理學Ｂ組</t>
  </si>
  <si>
    <t>JS5200</t>
  </si>
  <si>
    <t>工程學</t>
  </si>
  <si>
    <t>JS5211</t>
  </si>
  <si>
    <t>BSc in Integrative Systems and Design</t>
  </si>
  <si>
    <t>理學士（綜合系統與設計）</t>
  </si>
  <si>
    <t>JS5300</t>
  </si>
  <si>
    <t>Business and Management</t>
  </si>
  <si>
    <t>工商管理</t>
  </si>
  <si>
    <t>JS5311</t>
  </si>
  <si>
    <t>BBA in Economics</t>
  </si>
  <si>
    <t>工商管理學士（經濟學）</t>
  </si>
  <si>
    <t>JS5312</t>
  </si>
  <si>
    <t>BBA in Finance</t>
  </si>
  <si>
    <t>工商管理學士（金融學）</t>
  </si>
  <si>
    <t>JS5313</t>
  </si>
  <si>
    <t>BBA in Global Business</t>
  </si>
  <si>
    <t>工商管理學士（環球商業管理）</t>
  </si>
  <si>
    <t>JS5314</t>
  </si>
  <si>
    <t>BBA in Information Systems</t>
  </si>
  <si>
    <t>工商管理學士（資訊系統學）</t>
  </si>
  <si>
    <t>JS5315</t>
  </si>
  <si>
    <t>BBA in Management</t>
  </si>
  <si>
    <t>工商管理學士（管理學）</t>
  </si>
  <si>
    <t>JS5316</t>
  </si>
  <si>
    <t>BBA in Marketing</t>
  </si>
  <si>
    <t>工商管理學士（市場學）</t>
  </si>
  <si>
    <t>JS5317</t>
  </si>
  <si>
    <t>BBA in Operations Management</t>
  </si>
  <si>
    <t>工商管理學士（營運管理學）</t>
  </si>
  <si>
    <t>JS5318</t>
  </si>
  <si>
    <t>BBA in Professional Accounting</t>
  </si>
  <si>
    <t>工商管理學士（專業會計學）</t>
  </si>
  <si>
    <t>JS5331</t>
  </si>
  <si>
    <t>BSc in Economics and Finance</t>
  </si>
  <si>
    <t>理學士（經濟及金融學）</t>
  </si>
  <si>
    <t>JS5332</t>
  </si>
  <si>
    <t>BSc in Quantitative Finance</t>
  </si>
  <si>
    <t>理學士（量化金融學）</t>
  </si>
  <si>
    <t>JS5411</t>
  </si>
  <si>
    <t>BSc in Global China Studies</t>
  </si>
  <si>
    <t>理學士（環球中國研究）</t>
  </si>
  <si>
    <t>JS5412</t>
  </si>
  <si>
    <t>BSc in Quantitative Social Analysis</t>
  </si>
  <si>
    <t>理學士（定量社會數據分析）</t>
  </si>
  <si>
    <t>JS5811</t>
  </si>
  <si>
    <t>BSc in Biotechnology and Business</t>
  </si>
  <si>
    <t>理學士（生物科技及商學）</t>
  </si>
  <si>
    <t>JS5812</t>
  </si>
  <si>
    <t>BSc in Environmental Management and Technology</t>
  </si>
  <si>
    <t>理學士（環境管理及科技）</t>
  </si>
  <si>
    <t>JS5813</t>
  </si>
  <si>
    <t>BSc in Mathematics and Economics</t>
  </si>
  <si>
    <t>理學士（數學與經濟學）</t>
  </si>
  <si>
    <t>JS5814</t>
  </si>
  <si>
    <t>BSc in Risk Management and Business Intelligence</t>
  </si>
  <si>
    <t>理學士（風險管理及商業智能學）</t>
  </si>
  <si>
    <t>JS5901</t>
  </si>
  <si>
    <t>BEng/BSc &amp; BBA Dual Degree Program in Technology and Management</t>
  </si>
  <si>
    <t>科技及管理學雙學位課程</t>
  </si>
  <si>
    <t>UST</t>
    <phoneticPr fontId="2" type="noConversion"/>
  </si>
  <si>
    <t>英數Best3^</t>
    <phoneticPr fontId="2" type="noConversion"/>
  </si>
  <si>
    <t>英數Best3</t>
  </si>
  <si>
    <t>英數Best4</t>
  </si>
  <si>
    <t>中英Best4</t>
    <phoneticPr fontId="2" type="noConversion"/>
  </si>
  <si>
    <t>JS1000</t>
  </si>
  <si>
    <t>理學士(計算金融及金融科技)</t>
  </si>
  <si>
    <t>BSc Computational Finance and Financial Technology</t>
  </si>
  <si>
    <t>JS1001</t>
  </si>
  <si>
    <t>工商管理學士(環球商業)</t>
  </si>
  <si>
    <t>BBA Global Business</t>
  </si>
  <si>
    <t>JS1002</t>
  </si>
  <si>
    <t>工商管理學士(會計)</t>
  </si>
  <si>
    <t>BBA Accountancy</t>
  </si>
  <si>
    <t>JS1005</t>
  </si>
  <si>
    <t>工商管理學士(管理學)</t>
  </si>
  <si>
    <t>BBA Management</t>
  </si>
  <si>
    <t>JS1007</t>
  </si>
  <si>
    <t>工商管理學士(市場營銷)</t>
  </si>
  <si>
    <t>BBA Marketing</t>
  </si>
  <si>
    <t>JS1012</t>
  </si>
  <si>
    <t>經濟及金融系 [選項: 工商管理學士(商業經濟)、工商管理學士(金融)]</t>
  </si>
  <si>
    <t>Department of Economics and Finance (options: BBA Business Economics, BBA Finance)</t>
  </si>
  <si>
    <t>JS1013</t>
  </si>
  <si>
    <t>工商管理學士(商業經濟)</t>
  </si>
  <si>
    <t>BBA Business Economics</t>
  </si>
  <si>
    <t>JS1014</t>
  </si>
  <si>
    <t>工商管理學士(金融)</t>
  </si>
  <si>
    <t>BBA Finance</t>
  </si>
  <si>
    <t>JS1017</t>
  </si>
  <si>
    <t>資訊系統學系 [選項: 工商管理學士(環球商業系統管理)、工商管理學士(資訊管理)]</t>
  </si>
  <si>
    <t>Department of Information Systems (options: BBA Global Business Systems Management, BBA Information Management)</t>
  </si>
  <si>
    <t>JS1018</t>
  </si>
  <si>
    <t>工商管理學士(環球商業系統管理)</t>
  </si>
  <si>
    <t>BBA Global Business Systems Management</t>
  </si>
  <si>
    <t>JS1019</t>
  </si>
  <si>
    <t>工商管理學士(資訊管理)</t>
  </si>
  <si>
    <t>BBA Information Management</t>
  </si>
  <si>
    <t>JS1025</t>
  </si>
  <si>
    <t>管理科學系 [選項: 工商管理學士(商業分析)、工商管理學士(商業營運管理)]</t>
  </si>
  <si>
    <t>Department of Management Sciences (options: BBA Business Analysis, BBA Business Operations Management)</t>
  </si>
  <si>
    <t>JS1026</t>
  </si>
  <si>
    <t>工商管理學士(商業分析)</t>
  </si>
  <si>
    <t>BBA Business Analysis</t>
  </si>
  <si>
    <t>JS1027</t>
  </si>
  <si>
    <t>工商管理學士(商業營運管理)</t>
  </si>
  <si>
    <t>BBA Business Operations Management</t>
  </si>
  <si>
    <t>JS1041</t>
  </si>
  <si>
    <t>創意媒體學院 [選項: 文學士(創意媒體)、理學士(創意媒體)、文理學士(新媒體)]</t>
  </si>
  <si>
    <t>School of Creative Media (options: BA Creative Media, BSc Creative Media, BAS New Media)</t>
  </si>
  <si>
    <t>JS1042</t>
  </si>
  <si>
    <t>文學士(創意媒體)</t>
  </si>
  <si>
    <t>BA Creative Media</t>
  </si>
  <si>
    <t>JS1043</t>
  </si>
  <si>
    <t>理學士(創意媒體)</t>
  </si>
  <si>
    <t>BSc Creative Media</t>
  </si>
  <si>
    <t>JS1044</t>
  </si>
  <si>
    <t>文理學士(新媒體)</t>
  </si>
  <si>
    <t>BAS New Media</t>
  </si>
  <si>
    <t>JS1051</t>
  </si>
  <si>
    <t>能源及環境學院 [選項: 工學士(能源科學及工程學)、工學士(環境科學及工程學)]</t>
  </si>
  <si>
    <t>School of Energy and Environment (options: BEng Energy Science and Engineering, BEng Environmental Science and Engineering)</t>
  </si>
  <si>
    <t>JS1061</t>
  </si>
  <si>
    <t>法律學學士</t>
  </si>
  <si>
    <t>JS1071</t>
  </si>
  <si>
    <t>數據科學學院 [選項：理學士 (數據科學)、工學士 (數據與系統工程)]</t>
  </si>
  <si>
    <t>School of Data Science (options: BSc Data Science, BEng Data and Systems Engineering)</t>
  </si>
  <si>
    <t>JS1072</t>
  </si>
  <si>
    <t>理學士(數據科學)</t>
  </si>
  <si>
    <t>BSc Data Science</t>
  </si>
  <si>
    <t>JS1073</t>
  </si>
  <si>
    <t>工學士(數據與系統工程)</t>
  </si>
  <si>
    <t>BEng Data and Systems Engineering</t>
  </si>
  <si>
    <t>JS1091</t>
  </si>
  <si>
    <t>建築科技學部 [選項: 理學副學士(屋宇裝備工程學)、理學副學士(建造工程及管理學)、理學副學士(測量學)]</t>
  </si>
  <si>
    <t>Division of Building Science and Technology (options: ASc Building Services Engineering, ASc Construction Engineering and Management, ASc Surveying)</t>
  </si>
  <si>
    <t>JS1093</t>
  </si>
  <si>
    <t>理學副學士(建築學)</t>
  </si>
  <si>
    <t>ASc Architectural Studies</t>
  </si>
  <si>
    <t>JS1102</t>
  </si>
  <si>
    <t>社會科學學士(亞洲及國際研究)</t>
  </si>
  <si>
    <t>BSocSc Asian and International Studies</t>
  </si>
  <si>
    <t>JS1103</t>
  </si>
  <si>
    <t>文學士(中文及歷史)</t>
  </si>
  <si>
    <t>BA Chinese and History</t>
  </si>
  <si>
    <t>JS1104</t>
  </si>
  <si>
    <t>文學士(英語語言)</t>
  </si>
  <si>
    <t>BA English</t>
  </si>
  <si>
    <t>JS1105</t>
  </si>
  <si>
    <t>翻譯及語言學系 [選項: 文學士(語言學及語言應用)、文學士(翻譯及傳譯)]</t>
  </si>
  <si>
    <t>Department of Linguistics and Translation (options: BA Linguistics and Language Applications, BA Translation and Interpretation)</t>
  </si>
  <si>
    <t>JS1106</t>
  </si>
  <si>
    <t>媒體與傳播系 [選項: 文學士(數碼電視與廣播)、文學士(媒體與傳播)]</t>
  </si>
  <si>
    <t>Department of Media and Communication (options: BA Digital Television and Broadcasting, BA Media and Communication)</t>
  </si>
  <si>
    <t>JS1108</t>
  </si>
  <si>
    <t>社會科學學士(公共政策與政治)</t>
  </si>
  <si>
    <t>BSocSc Public Policy and Politics</t>
  </si>
  <si>
    <t>JS1110</t>
  </si>
  <si>
    <t>社會及行為科學系 [選項: 社會科學學士(犯罪學及社會學)、社會科學學士(心理學)、社會科學學士(社會工作)]</t>
  </si>
  <si>
    <t>Department of Social and Behavioural Sciences (options: BSocSc Criminology and Sociology, BSocSc Psychology, BSocSc Social Work)</t>
  </si>
  <si>
    <t>JS1111</t>
  </si>
  <si>
    <t>社會科學學士(犯罪學及社會學)</t>
  </si>
  <si>
    <t>BSocSc Criminology and Sociology</t>
  </si>
  <si>
    <t>JS1112</t>
  </si>
  <si>
    <t>社會科學學士(心理學)</t>
  </si>
  <si>
    <t>BSocSc Psychology</t>
  </si>
  <si>
    <t>JS1113</t>
  </si>
  <si>
    <t>社會科學學士(社會工作)</t>
  </si>
  <si>
    <t>BSocSc Social Work</t>
  </si>
  <si>
    <t>JS1202</t>
  </si>
  <si>
    <t>理學士(化學)</t>
  </si>
  <si>
    <t>BSc Chemistry</t>
  </si>
  <si>
    <t>JS1204</t>
  </si>
  <si>
    <t>理學士(電腦科學)</t>
  </si>
  <si>
    <t>BSc Computer Science</t>
  </si>
  <si>
    <t>JS1205</t>
  </si>
  <si>
    <t>電機工程學系 [選項: 工學士(電子計算機及數據工程學)、工學士(電子及電機工程學)、工學士(資訊工程學)]</t>
  </si>
  <si>
    <t>Department of Electrical Engineering (options:BEng Computer&amp;Data Engineering, BEng Electronic&amp;Electrical Engineering, BEng Information Engineering)</t>
  </si>
  <si>
    <t>JS1206</t>
  </si>
  <si>
    <t>理學士(計算數學)</t>
  </si>
  <si>
    <t>BSc Computing Mathematics</t>
  </si>
  <si>
    <t>JS1207</t>
  </si>
  <si>
    <t>機械工程學系 [選項: 工學士(機械工程)、工學士(核子及風險工程)]</t>
  </si>
  <si>
    <t>Department of Mechanical Engineering (options: BEng Mechanical Engineering,BEng Nuclear &amp; Risk Engineering)</t>
  </si>
  <si>
    <t>JS1208</t>
  </si>
  <si>
    <t>理學士(應用物理學)</t>
  </si>
  <si>
    <t>BSc Applied Physics</t>
  </si>
  <si>
    <t>JS1210</t>
  </si>
  <si>
    <t>工學士(材料科學及工程)</t>
  </si>
  <si>
    <t>BEng Materials Science and Engineering</t>
  </si>
  <si>
    <t>JS1211</t>
  </si>
  <si>
    <t>工學士(生物醫學工程)</t>
  </si>
  <si>
    <t>BEng Biomedical Engineering</t>
  </si>
  <si>
    <t>JS1212</t>
  </si>
  <si>
    <t>建築學及土木工程學系 [選項: 工學士(建築工程)、工學士(土木工程)、理學士(測量學)]</t>
  </si>
  <si>
    <t>Department of Architecture and Civil Engineering (options: BEng Architectural Engineering, BEng Civil Engineering, BSc Surveying)</t>
  </si>
  <si>
    <t>JS1213</t>
  </si>
  <si>
    <t>工學士(建築工程)</t>
  </si>
  <si>
    <t>BEng Architectural Engineering</t>
  </si>
  <si>
    <t>JS1214</t>
  </si>
  <si>
    <t>工學士(土木工程)</t>
  </si>
  <si>
    <t>BEng Civil Engineering</t>
  </si>
  <si>
    <t>JS1215</t>
  </si>
  <si>
    <t>BSc Surveying</t>
  </si>
  <si>
    <t>JS1801</t>
  </si>
  <si>
    <t>獸醫學學士</t>
  </si>
  <si>
    <t>Bachelor of Veterinary Medicine</t>
  </si>
  <si>
    <t>JS1805</t>
  </si>
  <si>
    <t>生物醫學系 [選項: 理學士(生物科學)、理學士(生物醫學)]</t>
  </si>
  <si>
    <t>Department of Biomedical Sciences (options: BSc Biological Sciences, BSc Biomedical Sciences)</t>
  </si>
  <si>
    <t>JS1806</t>
  </si>
  <si>
    <t>理學士(生物科學)</t>
  </si>
  <si>
    <t>BSc Biological Sciences</t>
  </si>
  <si>
    <t>JS1807</t>
  </si>
  <si>
    <t>理學士(生物醫學)</t>
  </si>
  <si>
    <t>BSc Biomedical Sciences</t>
  </si>
  <si>
    <t>CityU</t>
    <phoneticPr fontId="2" type="noConversion"/>
  </si>
  <si>
    <t>中英3X</t>
    <phoneticPr fontId="2" type="noConversion"/>
  </si>
  <si>
    <t>化+生</t>
    <phoneticPr fontId="2" type="noConversion"/>
  </si>
  <si>
    <t>最高選修</t>
  </si>
  <si>
    <t>英語文學</t>
    <phoneticPr fontId="2" type="noConversion"/>
  </si>
  <si>
    <t>Best results in 2 or more sittings of DSE</t>
  </si>
  <si>
    <t xml:space="preserve">Best results in 2019 &amp; 2020 </t>
  </si>
  <si>
    <t>Best results in latest 2 sittings of DSE (must include 2020)</t>
  </si>
  <si>
    <t>Best results in 2018, 2019 &amp; 2020</t>
  </si>
  <si>
    <t>Best results in the latest 3 sittings of DSE</t>
  </si>
  <si>
    <t>Latest results in 2 or more sittings of DSE</t>
  </si>
  <si>
    <t>Best results in 2019 &amp; 2020 (other sitting(s) will be considered on a case-by-case basis)</t>
  </si>
  <si>
    <t>醫療及社會科學院</t>
  </si>
  <si>
    <t>人文學院</t>
  </si>
  <si>
    <t>醫療及社會科學院</t>
    <phoneticPr fontId="2" type="noConversion"/>
  </si>
  <si>
    <t>建設及環境學院</t>
  </si>
  <si>
    <t>工商管理學院</t>
  </si>
  <si>
    <t>應用科學及紡織學院</t>
  </si>
  <si>
    <t>應用科學及紡織學院</t>
    <phoneticPr fontId="2" type="noConversion"/>
  </si>
  <si>
    <t>酒店及旅遊業管理學院</t>
  </si>
  <si>
    <t>設計學院</t>
    <phoneticPr fontId="2" type="noConversion"/>
  </si>
  <si>
    <t>HD in Chemical Technology</t>
    <phoneticPr fontId="2" type="noConversion"/>
  </si>
  <si>
    <t>中英+Best3</t>
  </si>
  <si>
    <t>中英+Best3</t>
    <phoneticPr fontId="2" type="noConversion"/>
  </si>
  <si>
    <t>Mean</t>
    <phoneticPr fontId="2" type="noConversion"/>
  </si>
  <si>
    <t>人文社會科學學院</t>
    <phoneticPr fontId="2" type="noConversion"/>
  </si>
  <si>
    <t>工學院</t>
    <phoneticPr fontId="2" type="noConversion"/>
  </si>
  <si>
    <t>商學院</t>
    <phoneticPr fontId="2" type="noConversion"/>
  </si>
  <si>
    <t>跨學科課程</t>
    <phoneticPr fontId="2" type="noConversion"/>
  </si>
  <si>
    <t>英數Best4</t>
    <phoneticPr fontId="2" type="noConversion"/>
  </si>
  <si>
    <t>2科理科?</t>
    <phoneticPr fontId="2" type="noConversion"/>
  </si>
  <si>
    <t>第二理科</t>
    <phoneticPr fontId="2" type="noConversion"/>
  </si>
  <si>
    <t>ICT?</t>
    <phoneticPr fontId="2" type="noConversion"/>
  </si>
  <si>
    <t>物/M12</t>
    <phoneticPr fontId="2" type="noConversion"/>
  </si>
  <si>
    <t>生/化</t>
    <phoneticPr fontId="2" type="noConversion"/>
  </si>
  <si>
    <t>冇M12</t>
    <phoneticPr fontId="2" type="noConversion"/>
  </si>
  <si>
    <t>DAT+冇M</t>
    <phoneticPr fontId="2" type="noConversion"/>
  </si>
  <si>
    <t>ICT</t>
    <phoneticPr fontId="2" type="noConversion"/>
  </si>
  <si>
    <t>DAT</t>
    <phoneticPr fontId="2" type="noConversion"/>
  </si>
  <si>
    <t>理學</t>
    <phoneticPr fontId="2" type="noConversion"/>
  </si>
  <si>
    <t>M/Chem/Econ/Phys</t>
    <phoneticPr fontId="2" type="noConversion"/>
  </si>
  <si>
    <t>生/化*2</t>
    <phoneticPr fontId="2" type="noConversion"/>
  </si>
  <si>
    <t>生/化/物/組/綜/經</t>
    <phoneticPr fontId="2" type="noConversion"/>
  </si>
  <si>
    <t>英數Best3</t>
    <phoneticPr fontId="2" type="noConversion"/>
  </si>
  <si>
    <t>理學B</t>
    <phoneticPr fontId="2" type="noConversion"/>
  </si>
  <si>
    <t>差距(LQ)</t>
  </si>
  <si>
    <t>m1/2</t>
    <phoneticPr fontId="2" type="noConversion"/>
  </si>
  <si>
    <t>JS3442</t>
    <phoneticPr fontId="2" type="noConversion"/>
  </si>
  <si>
    <t xml:space="preserve">BEd (Chinese Language) </t>
  </si>
  <si>
    <t xml:space="preserve">BEd (English Language) - Primary </t>
  </si>
  <si>
    <t xml:space="preserve">BEd (Primary) - General Studies </t>
  </si>
  <si>
    <t xml:space="preserve">BEd (Primary) - Mathematics </t>
  </si>
  <si>
    <t xml:space="preserve">BEd (Physical Education) </t>
  </si>
  <si>
    <t xml:space="preserve">BEd (Secondary) - Information and Communication Technology </t>
  </si>
  <si>
    <t xml:space="preserve">BEd (Business, Accounting and Financial Studies) </t>
  </si>
  <si>
    <t>BEd (History)</t>
  </si>
  <si>
    <t>/</t>
  </si>
  <si>
    <t xml:space="preserve">BEd (Secondary) in Mathematics </t>
  </si>
  <si>
    <t xml:space="preserve">BEd (Early Childhood Education) </t>
  </si>
  <si>
    <t xml:space="preserve">BEd (Geography) </t>
  </si>
  <si>
    <t xml:space="preserve">BEd (Science) </t>
  </si>
  <si>
    <t xml:space="preserve">BA in Language Studies (Chinese) </t>
  </si>
  <si>
    <t xml:space="preserve">BA in Language Studies (English) </t>
  </si>
  <si>
    <t xml:space="preserve">BSocSc in Global and Environmental Studies </t>
  </si>
  <si>
    <t xml:space="preserve">BA in Creative Arts and Culture (Music) </t>
  </si>
  <si>
    <t xml:space="preserve">BA in Creative Arts and Culture (Visual Arts) </t>
  </si>
  <si>
    <t xml:space="preserve">BSocSc in Psychology </t>
  </si>
  <si>
    <t xml:space="preserve">BA in Special Education </t>
  </si>
  <si>
    <t xml:space="preserve">BA in Creative Arts and Culture and BEd (Music) </t>
  </si>
  <si>
    <t xml:space="preserve">BA in Creative Arts and Culture and BEd (Visual Arts) </t>
  </si>
  <si>
    <t xml:space="preserve">BA in Language Studies and BEd (English Language) </t>
  </si>
  <si>
    <t xml:space="preserve">HD in Early Childhood Education </t>
  </si>
  <si>
    <t xml:space="preserve">JS8105 </t>
  </si>
  <si>
    <t>中國語文教育榮譽學士</t>
  </si>
  <si>
    <t xml:space="preserve">JS8222 </t>
  </si>
  <si>
    <t>英國語文教育榮譽學士 — 小學</t>
  </si>
  <si>
    <t xml:space="preserve">JS8234 </t>
  </si>
  <si>
    <t>小學教育榮譽學士 - 常識</t>
  </si>
  <si>
    <t xml:space="preserve">JS8246 </t>
  </si>
  <si>
    <t>小學教育榮譽學士 - 數學</t>
  </si>
  <si>
    <t xml:space="preserve">JS8325 </t>
  </si>
  <si>
    <t>體育教育榮譽學士</t>
  </si>
  <si>
    <t xml:space="preserve">JS8361 </t>
  </si>
  <si>
    <t>中學教育榮譽學士 - 資訊及通訊科技</t>
  </si>
  <si>
    <t xml:space="preserve">JS8371 </t>
  </si>
  <si>
    <t>企業、會計與財務概論教育榮譽學士</t>
  </si>
  <si>
    <t>JS8381</t>
  </si>
  <si>
    <t>歷史教育榮譽學士</t>
  </si>
  <si>
    <t xml:space="preserve">JS8391 </t>
  </si>
  <si>
    <t>中學數學教育榮譽學士</t>
  </si>
  <si>
    <t xml:space="preserve">JS8404 </t>
  </si>
  <si>
    <t>幼兒教育榮譽學士</t>
  </si>
  <si>
    <t xml:space="preserve">JS8428 </t>
  </si>
  <si>
    <t>地理教育榮譽學士</t>
  </si>
  <si>
    <t xml:space="preserve">JS8430 </t>
  </si>
  <si>
    <t>科學教育榮譽學士</t>
  </si>
  <si>
    <t xml:space="preserve">JS8600 </t>
  </si>
  <si>
    <t>語文研究榮譽文學士 (中文主修)</t>
  </si>
  <si>
    <t xml:space="preserve">JS8612 </t>
  </si>
  <si>
    <t>語文研究榮譽文學士 (英文主修)</t>
  </si>
  <si>
    <t xml:space="preserve">JS8624 </t>
  </si>
  <si>
    <t>全球及環境研究榮譽社會科學學士</t>
  </si>
  <si>
    <t xml:space="preserve">JS8636 </t>
  </si>
  <si>
    <t>創意藝術與文化榮譽文學士 (音樂)</t>
  </si>
  <si>
    <t xml:space="preserve">JS8648 </t>
  </si>
  <si>
    <t>創意藝術與文化榮譽文學士 (視覺藝術)</t>
  </si>
  <si>
    <t xml:space="preserve">JS8651 </t>
  </si>
  <si>
    <t>心理學榮譽社會科學學士</t>
  </si>
  <si>
    <t xml:space="preserve">JS8663 </t>
  </si>
  <si>
    <t>特殊教育榮譽文學士</t>
  </si>
  <si>
    <t xml:space="preserve">JS8801 </t>
  </si>
  <si>
    <t>創意藝術與文化榮譽文學士及音樂教育榮譽學士 (同期 結業雙學位課程)</t>
  </si>
  <si>
    <t xml:space="preserve">JS8813 </t>
  </si>
  <si>
    <t>創意藝術與文化榮譽文學士及視覺藝術教育榮譽學士 (同期結業雙學位課程)</t>
  </si>
  <si>
    <t xml:space="preserve">JS8825 </t>
  </si>
  <si>
    <t>語文研究榮譽文學士及英文教育榮譽學士 (同期結業雙 學位課程)</t>
  </si>
  <si>
    <t xml:space="preserve">JS8507 </t>
  </si>
  <si>
    <t>幼兒教育高級文憑</t>
  </si>
  <si>
    <t>EdU</t>
  </si>
  <si>
    <t>歷史/中史</t>
  </si>
  <si>
    <t>LingU</t>
  </si>
  <si>
    <t>有</t>
  </si>
  <si>
    <t>差距(Mean)</t>
    <phoneticPr fontId="2" type="noConversion"/>
  </si>
  <si>
    <t>理學(綜)</t>
    <phoneticPr fontId="2" type="noConversion"/>
  </si>
  <si>
    <t>中文(榮譽)文學士</t>
  </si>
  <si>
    <t xml:space="preserve">BA (Hons) in Chinese </t>
  </si>
  <si>
    <t>翻譯(榮譽)文學士</t>
  </si>
  <si>
    <t xml:space="preserve">BA (Hons) in Translation </t>
  </si>
  <si>
    <t>當代英語語言文學課程(榮譽) 文學士</t>
  </si>
  <si>
    <t xml:space="preserve">BA (Hons) in Contemporary English Studies </t>
  </si>
  <si>
    <t>文化研究(榮譽)文學士</t>
  </si>
  <si>
    <t>BA (Hons) in Cultural Studies</t>
  </si>
  <si>
    <t>歷史(榮譽)文學士</t>
  </si>
  <si>
    <t xml:space="preserve">Ba (Hons) in History </t>
  </si>
  <si>
    <t>哲學(榮譽)文學士</t>
  </si>
  <si>
    <t xml:space="preserve">BA (Hons) in Philosophy </t>
  </si>
  <si>
    <t>視覺研究(榮譽)文學士</t>
  </si>
  <si>
    <t xml:space="preserve">BA (Hons) in Visual Studies </t>
  </si>
  <si>
    <t>工商管理(榮譽)學士</t>
  </si>
  <si>
    <t xml:space="preserve">BBA (Hons) </t>
  </si>
  <si>
    <t>工商管理(榮譽)學士 - 風險及 保險管理</t>
  </si>
  <si>
    <t>BBA (Hons) - Risk and Insurance Management</t>
  </si>
  <si>
    <t>數據科學(榮譽)理學士</t>
  </si>
  <si>
    <t xml:space="preserve">BSc (Hons) in Data Science </t>
  </si>
  <si>
    <t>社會科學(榮譽)學士</t>
  </si>
  <si>
    <t>BSocSc (Hons)</t>
  </si>
  <si>
    <t>環球博雅教育(榮譽)文學士</t>
  </si>
  <si>
    <t xml:space="preserve">BA (Hons) in Global Liberal Arts </t>
  </si>
  <si>
    <t>人文社會科學院</t>
    <phoneticPr fontId="2" type="noConversion"/>
  </si>
  <si>
    <t>創意媒體學院 [選項: 文學士(創意媒體)、理學士(創意媒體)、文理學士(新媒體)]</t>
    <phoneticPr fontId="2" type="noConversion"/>
  </si>
  <si>
    <t>創意媒體學院</t>
  </si>
  <si>
    <t>能源及環境學院 [選項: 工學士(能源科學及工程學)、工學士(環境科學及工程學)]</t>
    <phoneticPr fontId="2" type="noConversion"/>
  </si>
  <si>
    <t>能源及環境學院</t>
  </si>
  <si>
    <t>數據科學學院 [選項：理學士 (數據科學)、工學士 (數據與系統工程)]</t>
    <phoneticPr fontId="2" type="noConversion"/>
  </si>
  <si>
    <t>數據科學學院</t>
  </si>
  <si>
    <t>建築科技學部 [選項: 理學副學士(屋宇裝備工程學)、理學副學士(建造工程及管理學)、理學副學士(測量學)]</t>
    <phoneticPr fontId="2" type="noConversion"/>
  </si>
  <si>
    <t>賽馬會動物醫學及生命科學院</t>
    <phoneticPr fontId="2" type="noConversion"/>
  </si>
  <si>
    <t>理學士(數據科學)</t>
    <phoneticPr fontId="2" type="noConversion"/>
  </si>
  <si>
    <t>化/物</t>
    <phoneticPr fontId="2" type="noConversion"/>
  </si>
  <si>
    <t xml:space="preserve">JS7101 </t>
  </si>
  <si>
    <t xml:space="preserve">JS7204 </t>
  </si>
  <si>
    <t xml:space="preserve">JS7503 </t>
  </si>
  <si>
    <t xml:space="preserve">JS7606 </t>
  </si>
  <si>
    <t xml:space="preserve">JS7709 </t>
  </si>
  <si>
    <t xml:space="preserve">JS7802 </t>
  </si>
  <si>
    <t xml:space="preserve">JS7905 </t>
  </si>
  <si>
    <t xml:space="preserve">JS7200 </t>
  </si>
  <si>
    <t xml:space="preserve">JS7216 </t>
  </si>
  <si>
    <t>JS7225</t>
  </si>
  <si>
    <t>JS7300</t>
  </si>
  <si>
    <t xml:space="preserve">JS7123 </t>
  </si>
  <si>
    <t>文學院</t>
    <phoneticPr fontId="2" type="noConversion"/>
  </si>
  <si>
    <t>跨學院</t>
    <phoneticPr fontId="2" type="noConversion"/>
  </si>
  <si>
    <t>x1.5: 數學，BAFS，ICT，DAT，M1/2，綜合科學</t>
  </si>
  <si>
    <t>x2: 英文，物理，化學，生物，組合科學，</t>
    <phoneticPr fontId="2" type="noConversion"/>
  </si>
  <si>
    <t>BU</t>
    <phoneticPr fontId="2" type="noConversion"/>
  </si>
  <si>
    <t>電機工程學系 [選項: 工學士(電子計算機及數據工程學)、工學士(電子及電機工程學)、工學士(資訊工程學)]</t>
    <phoneticPr fontId="2" type="noConversion"/>
  </si>
  <si>
    <t>數字模式</t>
    <phoneticPr fontId="2" type="noConversion"/>
  </si>
  <si>
    <t>With Stars</t>
    <phoneticPr fontId="2" type="noConversion"/>
  </si>
  <si>
    <t>JS1051</t>
    <phoneticPr fontId="2" type="noConversion"/>
  </si>
  <si>
    <t>理學/ICT/M</t>
    <phoneticPr fontId="2" type="noConversion"/>
  </si>
  <si>
    <t>理學/ICT/M/綜</t>
    <phoneticPr fontId="2" type="noConversion"/>
  </si>
  <si>
    <t>DAT/Phy/Chem/noM</t>
    <phoneticPr fontId="2" type="noConversion"/>
  </si>
  <si>
    <t>JS1210</t>
    <phoneticPr fontId="2" type="noConversion"/>
  </si>
  <si>
    <t>物</t>
    <phoneticPr fontId="2" type="noConversion"/>
  </si>
  <si>
    <t>化</t>
    <phoneticPr fontId="2" type="noConversion"/>
  </si>
  <si>
    <t>NEXT YEAR</t>
    <phoneticPr fontId="2" type="noConversion"/>
  </si>
  <si>
    <t>PCB/M/BAFS/C/I/DAT/ICT</t>
    <phoneticPr fontId="2" type="noConversion"/>
  </si>
  <si>
    <t>PCB/M/BAFS/C/I/DAT</t>
    <phoneticPr fontId="2" type="noConversion"/>
  </si>
  <si>
    <t>PCB/BAFS/C/I/DAT</t>
    <phoneticPr fontId="2" type="noConversion"/>
  </si>
  <si>
    <r>
      <t>*城大公佈的分數為</t>
    </r>
    <r>
      <rPr>
        <b/>
        <sz val="10"/>
        <color theme="1"/>
        <rFont val="微軟正黑體"/>
        <family val="2"/>
        <charset val="136"/>
      </rPr>
      <t>已計比重的分數</t>
    </r>
    <r>
      <rPr>
        <sz val="10"/>
        <color theme="1"/>
        <rFont val="微軟正黑體"/>
        <family val="2"/>
        <charset val="136"/>
      </rPr>
      <t>，只供參考。</t>
    </r>
    <phoneticPr fontId="2" type="noConversion"/>
  </si>
  <si>
    <r>
      <rPr>
        <sz val="10"/>
        <color theme="1"/>
        <rFont val="微軟正黑體"/>
        <family val="2"/>
        <charset val="136"/>
      </rPr>
      <t>*科大公佈的分數為</t>
    </r>
    <r>
      <rPr>
        <b/>
        <sz val="10"/>
        <color theme="1"/>
        <rFont val="微軟正黑體"/>
        <family val="2"/>
        <charset val="136"/>
      </rPr>
      <t>已計比重的分數</t>
    </r>
    <r>
      <rPr>
        <sz val="10"/>
        <color theme="1"/>
        <rFont val="微軟正黑體"/>
        <family val="2"/>
        <charset val="136"/>
      </rPr>
      <t>，只供參考。</t>
    </r>
    <phoneticPr fontId="2" type="noConversion"/>
  </si>
  <si>
    <t>LingU</t>
    <phoneticPr fontId="2" type="noConversion"/>
  </si>
  <si>
    <t>中史</t>
  </si>
  <si>
    <t>JS2020</t>
  </si>
  <si>
    <t>JS2021</t>
  </si>
  <si>
    <t>JS2022</t>
  </si>
  <si>
    <t>JS2023</t>
  </si>
  <si>
    <t>JS2024</t>
  </si>
  <si>
    <t>JS2025</t>
  </si>
  <si>
    <t>JS2026</t>
  </si>
  <si>
    <t>JS2030</t>
  </si>
  <si>
    <t>JS2040</t>
  </si>
  <si>
    <t>JS2050</t>
  </si>
  <si>
    <t>JS2110</t>
  </si>
  <si>
    <t>JS2120</t>
  </si>
  <si>
    <t>JS2310</t>
  </si>
  <si>
    <t>JS2320</t>
  </si>
  <si>
    <t>JS2330</t>
  </si>
  <si>
    <t>JS2340</t>
  </si>
  <si>
    <t>JS2410</t>
  </si>
  <si>
    <t>JS2420</t>
  </si>
  <si>
    <t>JS2510</t>
  </si>
  <si>
    <t>JS2610</t>
  </si>
  <si>
    <t>JS2620</t>
  </si>
  <si>
    <t>JS2630</t>
  </si>
  <si>
    <t>JS2640</t>
  </si>
  <si>
    <t>JS2660</t>
  </si>
  <si>
    <t>JS2670</t>
  </si>
  <si>
    <t>JS2680</t>
  </si>
  <si>
    <t>JS2690</t>
  </si>
  <si>
    <t>JS2810</t>
  </si>
  <si>
    <t>JS2910</t>
  </si>
  <si>
    <t>Bachelor of Arts</t>
  </si>
  <si>
    <t>中國語言文學文學士</t>
  </si>
  <si>
    <t>Bachelor of Arts in Chinese Language and Literature</t>
  </si>
  <si>
    <t>創意及專業寫作文學士</t>
  </si>
  <si>
    <t>Bachelor of Arts in Creative and Professional Writing</t>
  </si>
  <si>
    <t>英國語言文學文學士</t>
  </si>
  <si>
    <t>Bachelor of Arts in English Language and Literature</t>
  </si>
  <si>
    <t>人文學文學士</t>
  </si>
  <si>
    <t>Bachelor of Arts in Humanities</t>
  </si>
  <si>
    <t>宗教、哲學及倫理文學士</t>
  </si>
  <si>
    <t>Bachelor of Arts in Religion, Philosophy and Ethics</t>
  </si>
  <si>
    <t>翻譯學文學士</t>
  </si>
  <si>
    <t>Bachelor of Arts in Translation</t>
  </si>
  <si>
    <t>音樂文學士</t>
  </si>
  <si>
    <t>Bachelor of Arts in Music</t>
  </si>
  <si>
    <t>英國語言文學及英語教學 (雙學位課程)</t>
  </si>
  <si>
    <t>English Language &amp; Literature and English Language Teaching (Double Degree)</t>
  </si>
  <si>
    <t>創意產業音樂學士</t>
  </si>
  <si>
    <t>Bachelor of Music in Creative Industries</t>
  </si>
  <si>
    <t>工商管理學士 - 會計學專修</t>
  </si>
  <si>
    <t>Bachelor of Business Administration - Accounting Concentration</t>
  </si>
  <si>
    <t>工商管理學士</t>
  </si>
  <si>
    <t>Bachelor of Business Administration</t>
  </si>
  <si>
    <t>傳理學學士</t>
  </si>
  <si>
    <t>Bachelor of Communication</t>
  </si>
  <si>
    <t>傳理學學士 - 電影主修 - 動畫及媒體藝術專修</t>
  </si>
  <si>
    <t>Bachelor of Communication - Film Major - Animation and Media Arts Concentration</t>
  </si>
  <si>
    <t>傳理學學士 - 電影主修 - 電影電視專修</t>
  </si>
  <si>
    <t>Bachelor of Communication - Film Major - Film and Television Concentration</t>
  </si>
  <si>
    <t>環球螢幕演技藝術學士</t>
  </si>
  <si>
    <t>Bachelor of Fine Arts in Acting for Global Screen</t>
  </si>
  <si>
    <t>中醫學學士及生物醫學理學士</t>
  </si>
  <si>
    <t>Bachelor of Chinese Medicine and Bachelor of Science in Biomedical Science</t>
  </si>
  <si>
    <t>中藥學學士</t>
  </si>
  <si>
    <t>Bachelor of Pharmacy in Chinese Medicine</t>
  </si>
  <si>
    <t>Bachelor of Science</t>
  </si>
  <si>
    <t>文學士/ 社會科學學士 (地理/ 政治及國際關係學/ 歷史/ 社會學)</t>
  </si>
  <si>
    <t>Bachelor of Arts/ Bachelor of Social Sciences (Geography/ Government &amp; International Studies/ History/ Sociology)</t>
  </si>
  <si>
    <t>體育及康樂管理文學士</t>
  </si>
  <si>
    <t>Bachelor of Arts in Physical Education and Recreation Management</t>
  </si>
  <si>
    <t>歐洲研究社會科學學士 - 法文</t>
  </si>
  <si>
    <t>Bachelor of Social Sciences in European Studies - French Stream</t>
  </si>
  <si>
    <t>歐洲研究社會科學學士 - 德文</t>
  </si>
  <si>
    <t>Bachelor of Social Sciences in European Studies - German Stream</t>
  </si>
  <si>
    <t>社會工作學士</t>
  </si>
  <si>
    <t>Bachelor of Social Work</t>
  </si>
  <si>
    <t>全球及中國研究社會科學學士</t>
  </si>
  <si>
    <t>Bachelor of Social Sciences in Global and China StudiesNEW</t>
  </si>
  <si>
    <t>地理/ 歷史/ 社會學及通識教學 (雙學位課程)</t>
  </si>
  <si>
    <t>Geography/ History/ Sociology and Liberal Studies Teaching (Double Degree)</t>
  </si>
  <si>
    <t>地理/ 歷史/ 社會學及個人、社會及人文教學 (雙學位課程)</t>
  </si>
  <si>
    <t>Geography/ History/ Sociology and Personal, Social and Humanities Education Teaching (Double Degree)</t>
  </si>
  <si>
    <t>視覺藝術文學士</t>
  </si>
  <si>
    <t>Bachelor of Arts in Visual Arts</t>
  </si>
  <si>
    <t>商業計算及數據分析理學士</t>
  </si>
  <si>
    <t>Bachelor of Science in Business Computing and Data Analytics</t>
  </si>
  <si>
    <t>傳理學院</t>
  </si>
  <si>
    <t>商業計算及數據分析理學士</t>
    <phoneticPr fontId="2" type="noConversion"/>
  </si>
  <si>
    <t>體育及康樂管理文學士</t>
    <phoneticPr fontId="2" type="noConversion"/>
  </si>
  <si>
    <t>文學士/ 社會科學學士 (地理/ 政治及國際關係學/ 歷史/ 社會學)</t>
    <phoneticPr fontId="2" type="noConversion"/>
  </si>
  <si>
    <t>中藥學學士</t>
    <phoneticPr fontId="2" type="noConversion"/>
  </si>
  <si>
    <t>中醫藥學院</t>
    <phoneticPr fontId="2" type="noConversion"/>
  </si>
  <si>
    <t>理學院/工商管理學院</t>
    <phoneticPr fontId="2" type="noConversion"/>
  </si>
  <si>
    <t>4C1X^</t>
  </si>
  <si>
    <t>4C1X^</t>
    <phoneticPr fontId="2" type="noConversion"/>
  </si>
  <si>
    <t>4C2X*</t>
  </si>
  <si>
    <t>4C2X*</t>
    <phoneticPr fontId="2" type="noConversion"/>
  </si>
  <si>
    <t>4C2X#</t>
  </si>
  <si>
    <t>4C2X#</t>
    <phoneticPr fontId="2" type="noConversion"/>
  </si>
  <si>
    <t>HKBU</t>
  </si>
  <si>
    <t>HKBU</t>
    <phoneticPr fontId="2" type="noConversion"/>
  </si>
  <si>
    <t>4C1X#</t>
  </si>
  <si>
    <t>4C1X#</t>
    <phoneticPr fontId="2" type="noConversion"/>
  </si>
  <si>
    <t>英國語言文學及英語教學 (雙學位課程)</t>
    <phoneticPr fontId="2" type="noConversion"/>
  </si>
  <si>
    <t>JS2040</t>
    <phoneticPr fontId="2" type="noConversion"/>
  </si>
  <si>
    <t>化/物/組</t>
    <phoneticPr fontId="2" type="noConversion"/>
  </si>
  <si>
    <t>化/組化</t>
    <phoneticPr fontId="2" type="noConversion"/>
  </si>
  <si>
    <t>物/綜/組物</t>
    <phoneticPr fontId="2" type="noConversion"/>
  </si>
  <si>
    <t>文學院/教育學院</t>
    <phoneticPr fontId="2" type="noConversion"/>
  </si>
  <si>
    <t>社會科學院/教育學院</t>
    <phoneticPr fontId="2" type="noConversion"/>
  </si>
  <si>
    <t>https://drive.google.com/drive/folders/1PmyDrmQ2CumbWrqY7NRqa0Ol-M9VnkFz?usp=sharing</t>
    <phoneticPr fontId="2" type="noConversion"/>
  </si>
  <si>
    <t>歡迎各位有心人Debug, 請於Drive中Debug文件內註明Bug及其位置</t>
    <phoneticPr fontId="2" type="noConversion"/>
  </si>
  <si>
    <t>快速輸入</t>
    <phoneticPr fontId="2" type="noConversion"/>
  </si>
  <si>
    <t>JUPAS排位</t>
    <phoneticPr fontId="2" type="noConversion"/>
  </si>
  <si>
    <t>請輸入JUPAS編號 (e.g. JS4862)</t>
    <phoneticPr fontId="2" type="noConversion"/>
  </si>
  <si>
    <t>院校</t>
    <phoneticPr fontId="2" type="noConversion"/>
  </si>
  <si>
    <t>學科</t>
    <phoneticPr fontId="2" type="noConversion"/>
  </si>
  <si>
    <t>A1</t>
    <phoneticPr fontId="2" type="noConversion"/>
  </si>
  <si>
    <t>A2</t>
    <phoneticPr fontId="2" type="noConversion"/>
  </si>
  <si>
    <t>A3</t>
    <phoneticPr fontId="2" type="noConversion"/>
  </si>
  <si>
    <t>Median</t>
    <phoneticPr fontId="2" type="noConversion"/>
  </si>
  <si>
    <t>LQ</t>
    <phoneticPr fontId="2" type="noConversion"/>
  </si>
  <si>
    <t>計分方式</t>
    <phoneticPr fontId="2" type="noConversion"/>
  </si>
  <si>
    <t>EdUHK</t>
    <phoneticPr fontId="2" type="noConversion"/>
  </si>
  <si>
    <t>\</t>
    <phoneticPr fontId="2" type="noConversion"/>
  </si>
  <si>
    <t>院校</t>
  </si>
  <si>
    <t>學科</t>
  </si>
  <si>
    <t>學額</t>
  </si>
  <si>
    <t>JUPAS CODE</t>
    <phoneticPr fontId="2" type="noConversion"/>
  </si>
  <si>
    <t>JS6</t>
  </si>
  <si>
    <t>JS1</t>
    <phoneticPr fontId="2" type="noConversion"/>
  </si>
  <si>
    <t>JS2</t>
    <phoneticPr fontId="2" type="noConversion"/>
  </si>
  <si>
    <t>JS3</t>
  </si>
  <si>
    <t>JS4</t>
  </si>
  <si>
    <t>JS5</t>
  </si>
  <si>
    <t>JS7</t>
  </si>
  <si>
    <t>JS8</t>
  </si>
  <si>
    <t>此處顯示為2019年方式及數字</t>
    <phoneticPr fontId="2" type="noConversion"/>
  </si>
  <si>
    <t>若有^號請前往院校版面查看註釋</t>
    <phoneticPr fontId="2" type="noConversion"/>
  </si>
  <si>
    <t>282^</t>
    <phoneticPr fontId="2" type="noConversion"/>
  </si>
  <si>
    <t>19^</t>
    <phoneticPr fontId="2" type="noConversion"/>
  </si>
  <si>
    <t>牙醫學院</t>
  </si>
  <si>
    <t>30^</t>
    <phoneticPr fontId="2" type="noConversion"/>
  </si>
  <si>
    <t>265^</t>
    <phoneticPr fontId="2" type="noConversion"/>
  </si>
  <si>
    <t>你的分數</t>
    <phoneticPr fontId="2" type="noConversion"/>
  </si>
  <si>
    <t>請以電腦 Excel開啟及使用。 (不能用Google Sheet) (手機版Excel尚可)</t>
    <phoneticPr fontId="2" type="noConversion"/>
  </si>
  <si>
    <t>464^</t>
    <phoneticPr fontId="2" type="noConversion"/>
  </si>
  <si>
    <r>
      <rPr>
        <sz val="10"/>
        <color theme="1"/>
        <rFont val="微軟正黑體"/>
        <family val="2"/>
        <charset val="136"/>
      </rPr>
      <t>*中大公佈的分數為</t>
    </r>
    <r>
      <rPr>
        <b/>
        <sz val="10"/>
        <color theme="1"/>
        <rFont val="微軟正黑體"/>
        <family val="2"/>
        <charset val="136"/>
      </rPr>
      <t>未乘比重的原始分數</t>
    </r>
    <r>
      <rPr>
        <sz val="10"/>
        <color theme="1"/>
        <rFont val="微軟正黑體"/>
        <family val="2"/>
        <charset val="136"/>
      </rPr>
      <t>，以上</t>
    </r>
    <r>
      <rPr>
        <b/>
        <sz val="10"/>
        <color theme="1"/>
        <rFont val="微軟正黑體"/>
        <family val="2"/>
        <charset val="136"/>
      </rPr>
      <t>含比重分數</t>
    </r>
    <r>
      <rPr>
        <sz val="10"/>
        <color theme="1"/>
        <rFont val="微軟正黑體"/>
        <family val="2"/>
        <charset val="136"/>
      </rPr>
      <t>一律以</t>
    </r>
    <r>
      <rPr>
        <b/>
        <sz val="12"/>
        <color theme="1"/>
        <rFont val="微軟正黑體"/>
        <family val="2"/>
        <charset val="136"/>
      </rPr>
      <t>最大比重</t>
    </r>
    <r>
      <rPr>
        <sz val="10"/>
        <color theme="1"/>
        <rFont val="微軟正黑體"/>
        <family val="2"/>
        <charset val="136"/>
      </rPr>
      <t>作估算，或會</t>
    </r>
    <r>
      <rPr>
        <b/>
        <sz val="10"/>
        <color theme="1"/>
        <rFont val="微軟正黑體"/>
        <family val="2"/>
        <charset val="136"/>
      </rPr>
      <t>稍為高於真實分數</t>
    </r>
    <r>
      <rPr>
        <sz val="10"/>
        <color theme="1"/>
        <rFont val="微軟正黑體"/>
        <family val="2"/>
        <charset val="136"/>
      </rPr>
      <t>，只供參考。</t>
    </r>
    <phoneticPr fontId="2" type="noConversion"/>
  </si>
  <si>
    <r>
      <t>*每年分數計算方式或有更改，以上一律以</t>
    </r>
    <r>
      <rPr>
        <b/>
        <sz val="10"/>
        <color theme="1"/>
        <rFont val="微軟正黑體"/>
        <family val="2"/>
        <charset val="136"/>
      </rPr>
      <t>2019方式</t>
    </r>
    <r>
      <rPr>
        <sz val="10"/>
        <color theme="1"/>
        <rFont val="微軟正黑體"/>
        <family val="2"/>
        <charset val="136"/>
      </rPr>
      <t>計算，以便估計分數差距。</t>
    </r>
    <phoneticPr fontId="2" type="noConversion"/>
  </si>
  <si>
    <r>
      <t>*港大公佈的分數為</t>
    </r>
    <r>
      <rPr>
        <b/>
        <sz val="10"/>
        <color theme="1"/>
        <rFont val="微軟正黑體"/>
        <family val="2"/>
        <charset val="136"/>
      </rPr>
      <t>已計加分制</t>
    </r>
    <r>
      <rPr>
        <sz val="10"/>
        <color theme="1"/>
        <rFont val="微軟正黑體"/>
        <family val="2"/>
        <charset val="136"/>
      </rPr>
      <t>，</t>
    </r>
    <r>
      <rPr>
        <b/>
        <sz val="10"/>
        <color theme="1"/>
        <rFont val="微軟正黑體"/>
        <family val="2"/>
        <charset val="136"/>
      </rPr>
      <t>但未計比重的分數</t>
    </r>
    <r>
      <rPr>
        <sz val="10"/>
        <color theme="1"/>
        <rFont val="微軟正黑體"/>
        <family val="2"/>
        <charset val="136"/>
      </rPr>
      <t>，以上含比重分數</t>
    </r>
    <r>
      <rPr>
        <b/>
        <sz val="10"/>
        <color theme="1"/>
        <rFont val="微軟正黑體"/>
        <family val="2"/>
        <charset val="136"/>
      </rPr>
      <t>一律以</t>
    </r>
    <r>
      <rPr>
        <b/>
        <sz val="12"/>
        <color theme="1"/>
        <rFont val="微軟正黑體"/>
        <family val="2"/>
        <charset val="136"/>
      </rPr>
      <t>最大比重</t>
    </r>
    <r>
      <rPr>
        <b/>
        <sz val="10"/>
        <color theme="1"/>
        <rFont val="微軟正黑體"/>
        <family val="2"/>
        <charset val="136"/>
      </rPr>
      <t>作估算</t>
    </r>
    <r>
      <rPr>
        <sz val="10"/>
        <color theme="1"/>
        <rFont val="微軟正黑體"/>
        <family val="2"/>
        <charset val="136"/>
      </rPr>
      <t>，或會</t>
    </r>
    <r>
      <rPr>
        <b/>
        <sz val="10"/>
        <color theme="1"/>
        <rFont val="微軟正黑體"/>
        <family val="2"/>
        <charset val="136"/>
      </rPr>
      <t>稍為高於真實分數</t>
    </r>
    <r>
      <rPr>
        <sz val="10"/>
        <color theme="1"/>
        <rFont val="微軟正黑體"/>
        <family val="2"/>
        <charset val="136"/>
      </rPr>
      <t>，只供參考。</t>
    </r>
    <phoneticPr fontId="2" type="noConversion"/>
  </si>
  <si>
    <r>
      <t>*嶺大公佈的分數為</t>
    </r>
    <r>
      <rPr>
        <b/>
        <sz val="10"/>
        <color theme="1"/>
        <rFont val="微軟正黑體"/>
        <family val="2"/>
        <charset val="136"/>
      </rPr>
      <t>已乘比重的分數</t>
    </r>
    <r>
      <rPr>
        <sz val="10"/>
        <color theme="1"/>
        <rFont val="微軟正黑體"/>
        <family val="2"/>
        <charset val="136"/>
      </rPr>
      <t>，只供參考。</t>
    </r>
    <phoneticPr fontId="2" type="noConversion"/>
  </si>
  <si>
    <r>
      <rPr>
        <sz val="10"/>
        <color theme="1"/>
        <rFont val="微軟正黑體"/>
        <family val="2"/>
        <charset val="136"/>
      </rPr>
      <t>*教大公佈的分數為</t>
    </r>
    <r>
      <rPr>
        <b/>
        <sz val="10"/>
        <color theme="1"/>
        <rFont val="微軟正黑體"/>
        <family val="2"/>
        <charset val="136"/>
      </rPr>
      <t>最佳5科平均分數</t>
    </r>
    <r>
      <rPr>
        <sz val="10"/>
        <color theme="1"/>
        <rFont val="微軟正黑體"/>
        <family val="2"/>
        <charset val="136"/>
      </rPr>
      <t>，但</t>
    </r>
    <r>
      <rPr>
        <b/>
        <sz val="10"/>
        <color theme="1"/>
        <rFont val="微軟正黑體"/>
        <family val="2"/>
        <charset val="136"/>
      </rPr>
      <t>未計比重</t>
    </r>
    <r>
      <rPr>
        <sz val="10"/>
        <color theme="1"/>
        <rFont val="微軟正黑體"/>
        <family val="2"/>
        <charset val="136"/>
      </rPr>
      <t>的分數</t>
    </r>
    <r>
      <rPr>
        <b/>
        <sz val="10"/>
        <color theme="1"/>
        <rFont val="微軟正黑體"/>
        <family val="2"/>
        <charset val="136"/>
      </rPr>
      <t>，以上分數</t>
    </r>
    <r>
      <rPr>
        <b/>
        <sz val="12"/>
        <color theme="1"/>
        <rFont val="微軟正黑體"/>
        <family val="2"/>
        <charset val="136"/>
      </rPr>
      <t>不含比重</t>
    </r>
    <r>
      <rPr>
        <b/>
        <sz val="10"/>
        <color theme="1"/>
        <rFont val="微軟正黑體"/>
        <family val="2"/>
        <charset val="136"/>
      </rPr>
      <t>，或會與</t>
    </r>
    <r>
      <rPr>
        <b/>
        <sz val="12"/>
        <color theme="1"/>
        <rFont val="微軟正黑體"/>
        <family val="2"/>
        <charset val="136"/>
      </rPr>
      <t>真實收生分數有別</t>
    </r>
    <r>
      <rPr>
        <b/>
        <sz val="10"/>
        <color theme="1"/>
        <rFont val="微軟正黑體"/>
        <family val="2"/>
        <charset val="136"/>
      </rPr>
      <t>，只供參考。</t>
    </r>
    <phoneticPr fontId="2" type="noConversion"/>
  </si>
  <si>
    <r>
      <t>*理大公佈的分數為</t>
    </r>
    <r>
      <rPr>
        <b/>
        <sz val="10"/>
        <color theme="1"/>
        <rFont val="微軟正黑體"/>
        <family val="2"/>
        <charset val="136"/>
      </rPr>
      <t>未乘比重的原始分數</t>
    </r>
    <r>
      <rPr>
        <sz val="10"/>
        <color theme="1"/>
        <rFont val="微軟正黑體"/>
        <family val="2"/>
        <charset val="136"/>
      </rPr>
      <t>，以上</t>
    </r>
    <r>
      <rPr>
        <b/>
        <sz val="10"/>
        <color theme="1"/>
        <rFont val="微軟正黑體"/>
        <family val="2"/>
        <charset val="136"/>
      </rPr>
      <t>含比重分數</t>
    </r>
    <r>
      <rPr>
        <sz val="10"/>
        <color theme="1"/>
        <rFont val="微軟正黑體"/>
        <family val="2"/>
        <charset val="136"/>
      </rPr>
      <t>一律以</t>
    </r>
    <r>
      <rPr>
        <b/>
        <sz val="12"/>
        <color theme="1"/>
        <rFont val="微軟正黑體"/>
        <family val="2"/>
        <charset val="136"/>
      </rPr>
      <t>最大比重</t>
    </r>
    <r>
      <rPr>
        <b/>
        <sz val="10"/>
        <color theme="1"/>
        <rFont val="微軟正黑體"/>
        <family val="2"/>
        <charset val="136"/>
      </rPr>
      <t>作估算</t>
    </r>
    <r>
      <rPr>
        <sz val="10"/>
        <color theme="1"/>
        <rFont val="微軟正黑體"/>
        <family val="2"/>
        <charset val="136"/>
      </rPr>
      <t>，或會</t>
    </r>
    <r>
      <rPr>
        <b/>
        <sz val="10"/>
        <color theme="1"/>
        <rFont val="微軟正黑體"/>
        <family val="2"/>
        <charset val="136"/>
      </rPr>
      <t>稍為高於真實分數</t>
    </r>
    <r>
      <rPr>
        <sz val="10"/>
        <color theme="1"/>
        <rFont val="微軟正黑體"/>
        <family val="2"/>
        <charset val="136"/>
      </rPr>
      <t>，只供參考。</t>
    </r>
    <phoneticPr fontId="2" type="noConversion"/>
  </si>
  <si>
    <r>
      <t>*浸大公佈的分數為平均分，以及</t>
    </r>
    <r>
      <rPr>
        <b/>
        <sz val="10"/>
        <color theme="1"/>
        <rFont val="微軟正黑體"/>
        <family val="2"/>
        <charset val="136"/>
      </rPr>
      <t>未計比重的原始分數</t>
    </r>
    <r>
      <rPr>
        <sz val="10"/>
        <color theme="1"/>
        <rFont val="微軟正黑體"/>
        <family val="2"/>
        <charset val="136"/>
      </rPr>
      <t>，</t>
    </r>
    <r>
      <rPr>
        <b/>
        <sz val="10"/>
        <color theme="1"/>
        <rFont val="微軟正黑體"/>
        <family val="2"/>
        <charset val="136"/>
      </rPr>
      <t>以上含比重分數一律以</t>
    </r>
    <r>
      <rPr>
        <b/>
        <sz val="12"/>
        <color theme="1"/>
        <rFont val="微軟正黑體"/>
        <family val="2"/>
        <charset val="136"/>
      </rPr>
      <t>最大比重</t>
    </r>
    <r>
      <rPr>
        <b/>
        <sz val="10"/>
        <color theme="1"/>
        <rFont val="微軟正黑體"/>
        <family val="2"/>
        <charset val="136"/>
      </rPr>
      <t>作估算，</t>
    </r>
    <r>
      <rPr>
        <sz val="10"/>
        <color theme="1"/>
        <rFont val="微軟正黑體"/>
        <family val="2"/>
        <charset val="136"/>
      </rPr>
      <t>或會</t>
    </r>
    <r>
      <rPr>
        <b/>
        <sz val="10"/>
        <color theme="1"/>
        <rFont val="微軟正黑體"/>
        <family val="2"/>
        <charset val="136"/>
      </rPr>
      <t>稍為高於真實分數</t>
    </r>
    <r>
      <rPr>
        <sz val="10"/>
        <color theme="1"/>
        <rFont val="微軟正黑體"/>
        <family val="2"/>
        <charset val="136"/>
      </rPr>
      <t>，只供參考。</t>
    </r>
    <phoneticPr fontId="2" type="noConversion"/>
  </si>
  <si>
    <t>只供參考</t>
    <phoneticPr fontId="2" type="noConversion"/>
  </si>
  <si>
    <t>例如課程要求M1/2，若同學沒有修讀，就會變紅</t>
    <phoneticPr fontId="2" type="noConversion"/>
  </si>
  <si>
    <t>若開啟數字模式，則無法以下拉選單選擇分數</t>
    <phoneticPr fontId="2" type="noConversion"/>
  </si>
  <si>
    <t>合乎基本入學要求?(並非入讀機率)</t>
    <phoneticPr fontId="2" type="noConversion"/>
  </si>
  <si>
    <t>JS8105</t>
  </si>
  <si>
    <t>JS8222</t>
  </si>
  <si>
    <t>JS8234</t>
  </si>
  <si>
    <t>JS8246</t>
  </si>
  <si>
    <t>JS8325</t>
  </si>
  <si>
    <t>JS8361</t>
  </si>
  <si>
    <t>JS8371</t>
  </si>
  <si>
    <t>JS8391</t>
  </si>
  <si>
    <t>JS8404</t>
  </si>
  <si>
    <t>JS8428</t>
  </si>
  <si>
    <t>JS8430</t>
  </si>
  <si>
    <t>JS8600</t>
  </si>
  <si>
    <t>JS8612</t>
  </si>
  <si>
    <t>JS8624</t>
  </si>
  <si>
    <t>JS8636</t>
  </si>
  <si>
    <t>JS8648</t>
  </si>
  <si>
    <t>JS8651</t>
  </si>
  <si>
    <t>JS8663</t>
  </si>
  <si>
    <t>JS8801</t>
  </si>
  <si>
    <t>JS8813</t>
  </si>
  <si>
    <t>JS8825</t>
  </si>
  <si>
    <t>JS8507</t>
  </si>
  <si>
    <t>JS7101</t>
  </si>
  <si>
    <t>JS7123</t>
  </si>
  <si>
    <t>JS7200</t>
  </si>
  <si>
    <t>JS7204</t>
  </si>
  <si>
    <t>JS7216</t>
  </si>
  <si>
    <t>JS7503</t>
  </si>
  <si>
    <t>JS7606</t>
  </si>
  <si>
    <t>JS7709</t>
  </si>
  <si>
    <t>JS7802</t>
  </si>
  <si>
    <t>JS7905</t>
  </si>
  <si>
    <t>已更正LingU學額錯位問題</t>
    <phoneticPr fontId="2" type="noConversion"/>
  </si>
  <si>
    <t>已更正JS5411 UST環球中國研究 分數計算</t>
    <phoneticPr fontId="2" type="noConversion"/>
  </si>
  <si>
    <t>請定期檢查更新</t>
    <phoneticPr fontId="2" type="noConversion"/>
  </si>
  <si>
    <t>JS5901</t>
    <phoneticPr fontId="2" type="noConversion"/>
  </si>
  <si>
    <t>v2.8</t>
    <phoneticPr fontId="2" type="noConversion"/>
  </si>
  <si>
    <t>已更正 JS5901 UST 分數計算</t>
    <phoneticPr fontId="2" type="noConversion"/>
  </si>
  <si>
    <t>已更正 JS2420 BU 入學要求</t>
    <phoneticPr fontId="2" type="noConversion"/>
  </si>
  <si>
    <t>v2.9</t>
    <phoneticPr fontId="2" type="noConversion"/>
  </si>
  <si>
    <t>已更正 JS5412及JS5814 UST 計算</t>
    <phoneticPr fontId="2" type="noConversion"/>
  </si>
  <si>
    <t>已更正 JS6901 HKU SCI 計算</t>
    <phoneticPr fontId="2" type="noConversion"/>
  </si>
  <si>
    <t>Previous Update Patch</t>
    <phoneticPr fontId="2" type="noConversion"/>
  </si>
  <si>
    <t>v.2.9.1</t>
    <phoneticPr fontId="2" type="noConversion"/>
  </si>
  <si>
    <t>已加入首頁分數差距</t>
    <phoneticPr fontId="2" type="noConversion"/>
  </si>
  <si>
    <t>已更正下拉選單與數字模式的衝突問題</t>
    <phoneticPr fontId="2" type="noConversion"/>
  </si>
  <si>
    <t>已更正JS4266 CU 旅款 計算</t>
    <phoneticPr fontId="2" type="noConversion"/>
  </si>
  <si>
    <t>過往版本</t>
    <phoneticPr fontId="2" type="noConversion"/>
  </si>
  <si>
    <t>已更正JS6157 HKU SHS UQ分數</t>
    <phoneticPr fontId="2" type="noConversion"/>
  </si>
  <si>
    <t>已更正部分院校無法顯示學額問題</t>
    <phoneticPr fontId="2" type="noConversion"/>
  </si>
  <si>
    <t>最佳三科</t>
    <phoneticPr fontId="2" type="noConversion"/>
  </si>
  <si>
    <t>已更正部份入學要求</t>
    <phoneticPr fontId="2" type="noConversion"/>
  </si>
  <si>
    <t xml:space="preserve">v2.9.2 </t>
    <phoneticPr fontId="2" type="noConversion"/>
  </si>
  <si>
    <t>中英+3X</t>
    <phoneticPr fontId="2" type="noConversion"/>
  </si>
  <si>
    <t>電子計算(榮譽)理學士學位組合課程</t>
    <phoneticPr fontId="2" type="noConversion"/>
  </si>
  <si>
    <t>已更新PolyU比重資料 (PolyU頁面註釋)</t>
    <phoneticPr fontId="2" type="noConversion"/>
  </si>
  <si>
    <t>JS9001</t>
  </si>
  <si>
    <t>Bachelor of Social Sciences with Honours in PsychologyUPDATED</t>
  </si>
  <si>
    <t>JS9003</t>
  </si>
  <si>
    <t>政治及公共行政榮譽社會科學學士</t>
  </si>
  <si>
    <t>Bachelor of Social Sciences with Honours in Politics and Public AdministrationUPDATED</t>
  </si>
  <si>
    <t>JS9004</t>
  </si>
  <si>
    <t>應用社會研究榮譽社會科學學士</t>
  </si>
  <si>
    <t>Bachelor of Social Sciences with Honours in Applied Social StudiesUPDATED</t>
  </si>
  <si>
    <t>JS9005</t>
  </si>
  <si>
    <t>全球與中國研究榮譽社會科學學士</t>
  </si>
  <si>
    <t>Bachelor of Social Sciences with Honours in Global and China StudiesUPDATED</t>
  </si>
  <si>
    <t>JS9006</t>
  </si>
  <si>
    <t>高齡社會與服務研究榮譽社會科學學士</t>
  </si>
  <si>
    <t>Bachelor of Social Sciences with Honours in Ageing Society and Services StudiesUPDATED</t>
  </si>
  <si>
    <t>JS9007</t>
  </si>
  <si>
    <t>經濟及公共政策分析榮譽社會科學學士</t>
  </si>
  <si>
    <t>Bachelor of Social Sciences with Honours in Economic and Public Policy AnalysisUPDATED</t>
  </si>
  <si>
    <t>JS9008</t>
  </si>
  <si>
    <t>心理學與精神健康榮譽社會科學學士</t>
  </si>
  <si>
    <t>Bachelor of Social Sciences with Honours in Psychology and Mental HealthUPDATED</t>
  </si>
  <si>
    <t>JS9011</t>
  </si>
  <si>
    <t>中文榮譽文學士</t>
  </si>
  <si>
    <t>Bachelor of Arts with Honours in ChineseUPDATED</t>
  </si>
  <si>
    <t>JS9013</t>
  </si>
  <si>
    <t>語言研究與翻譯榮譽文學士</t>
  </si>
  <si>
    <t>Bachelor of Arts with Honours in Language Studies and TranslationUPDATED</t>
  </si>
  <si>
    <t>JS9016</t>
  </si>
  <si>
    <t>創意廣告及媒體設計榮譽文學士</t>
  </si>
  <si>
    <t>Bachelor of Arts with Honours in Creative Advertising and Media DesignUPDATED</t>
  </si>
  <si>
    <t>JS9019</t>
  </si>
  <si>
    <t>英語及文化榮譽文學士</t>
  </si>
  <si>
    <t>Bachelor of Arts with Honours in English Language and CultureUPDATED</t>
  </si>
  <si>
    <t>JS9220</t>
  </si>
  <si>
    <t>專業會計榮譽工商管理學士</t>
  </si>
  <si>
    <t>Bachelor of Business Administration with Honours in Professional AccountingUPDATED</t>
  </si>
  <si>
    <t>JS9222</t>
  </si>
  <si>
    <t>會計及稅務學榮譽工商管理學士</t>
  </si>
  <si>
    <t>Bachelor of Business Administration with Honours in Accounting and TaxationUPDATED</t>
  </si>
  <si>
    <t>JS9230</t>
  </si>
  <si>
    <t>商業管理學榮譽工商管理學士</t>
  </si>
  <si>
    <t>Bachelor of Business Administration with Honours in Business ManagementUPDATED</t>
  </si>
  <si>
    <t>JS9240</t>
  </si>
  <si>
    <t>環球商業及市場學榮譽工商管理學士</t>
  </si>
  <si>
    <t>Bachelor of Business Administration with Honours in Global Business and MarketingUPDATED</t>
  </si>
  <si>
    <t>JS9250</t>
  </si>
  <si>
    <t>企業管治榮譽工商管理學士</t>
  </si>
  <si>
    <t>Bachelor of Business Administration with Honours in Corporate GovernanceUPDATED</t>
  </si>
  <si>
    <t>JS9261</t>
  </si>
  <si>
    <t>數碼商業榮譽工商管理學士</t>
  </si>
  <si>
    <t>Bachelor of Business Administration with Honours in Digital BusinessUPDATED</t>
  </si>
  <si>
    <t>JS9272</t>
  </si>
  <si>
    <t>財務及風險管理榮譽工商管理學士</t>
  </si>
  <si>
    <t>Bachelor of Business Administration with Honours in Finance and Risk ManagementUPDATED</t>
  </si>
  <si>
    <t>JS9276</t>
  </si>
  <si>
    <t>房地產及設施管理榮譽工商管理學士</t>
  </si>
  <si>
    <t>Bachelor of Business Administration with Honours in Real Estate and Facilities ManagementUPDATED</t>
  </si>
  <si>
    <t>JS9280</t>
  </si>
  <si>
    <t>應用心理學榮譽學士，商業管理榮譽學士</t>
  </si>
  <si>
    <t>Bachelor of Applied Psychology with Honours, Bachelor of Business Management with HonoursUPDATED</t>
  </si>
  <si>
    <t>JS9291</t>
  </si>
  <si>
    <t>酒店及可持續旅遊管理榮譽工商管理學士</t>
  </si>
  <si>
    <t>Bachelor of Business Administration with Honours in Hotel and Sustainable Tourism ManagementUPDATED</t>
  </si>
  <si>
    <t>JS9294</t>
  </si>
  <si>
    <t>運動及電競運動管理榮譽工商管理學士</t>
  </si>
  <si>
    <t>Bachelor of Business Administration with Honours in Sports and eSports ManagementUPDATED</t>
  </si>
  <si>
    <t>JS9530</t>
  </si>
  <si>
    <t>英語教學榮譽教育學士及英語研究榮譽學士</t>
  </si>
  <si>
    <t>Bachelor of Education with Honours in English Language Teaching and Bachelor of English Language Studies with HonoursUPDATED</t>
  </si>
  <si>
    <t>JS9540</t>
  </si>
  <si>
    <t>英語研究榮譽學士</t>
  </si>
  <si>
    <t>Bachelor of English Language Studies with HonoursUPDATED</t>
  </si>
  <si>
    <t>JS9550</t>
  </si>
  <si>
    <t>語言研究榮譽學士(應用中國語言)</t>
  </si>
  <si>
    <t>Bachelor of Language Studies with Honours (Applied Chinese Language Studies)UPDATED</t>
  </si>
  <si>
    <t>JS9560</t>
  </si>
  <si>
    <t>教育榮譽學士（中國語文教學）及語言研究榮譽學士（應用中國語言）</t>
  </si>
  <si>
    <t>Bachelor of Education with Honours (Chinese Language Teaching) and Bachelor of Language Studies with Honours (Applied Chinese Language Studies)UPDATED</t>
  </si>
  <si>
    <t>JS9570</t>
  </si>
  <si>
    <t>語言研究(雙語傳意)榮譽學士， 國際商業榮譽學士</t>
  </si>
  <si>
    <t>Bachelor of Language Studies with Honours (Bilingual Communication), Bachelor of Global Business with HonoursUPDATED</t>
  </si>
  <si>
    <t>JS9580</t>
  </si>
  <si>
    <t>教育榮譽學士(幼兒教育: 領導及特殊教育需要)</t>
  </si>
  <si>
    <t>Bachelor of Education with Honours in Early Childhood Education (Leadership and Special Educational Needs)UPDATED</t>
  </si>
  <si>
    <t>JS9720</t>
  </si>
  <si>
    <t>電子及電腦工程學榮譽工學士</t>
  </si>
  <si>
    <t>Bachelor of Engineering with Honours in Electronic and Computer EngineeringUPDATED</t>
  </si>
  <si>
    <t>JS9731</t>
  </si>
  <si>
    <t>環境科學與綠色管理榮譽理學士</t>
  </si>
  <si>
    <t>Bachelor of Science with Honours in Environmental Science and Green ManagementUPDATED</t>
  </si>
  <si>
    <t>JS9732</t>
  </si>
  <si>
    <t>生命科學榮譽理學士</t>
  </si>
  <si>
    <t>Bachelor of Science with Honours in Life SciencesUPDATED</t>
  </si>
  <si>
    <t>JS9769</t>
  </si>
  <si>
    <t>食品測試科學榮譽理學士</t>
  </si>
  <si>
    <t>Bachelor of Science with Honours in Food Testing ScienceUPDATED</t>
  </si>
  <si>
    <t>JS9780</t>
  </si>
  <si>
    <t>數據科學榮譽理學士</t>
  </si>
  <si>
    <t>Bachelor of Science with Honours in Data ScienceUPDATED</t>
  </si>
  <si>
    <t>JS9790</t>
  </si>
  <si>
    <t>物理治療學榮譽理學士</t>
  </si>
  <si>
    <t>Bachelor of Science with Honours in PhysiotherapyUPDATED</t>
  </si>
  <si>
    <t>http://www.ouhk.edu.hk/wcsprd/Satellite?pagename=OUHK/tcSingPage&amp;c=C_CFTS&amp;cid=1385194857860&amp;lang=eng&amp;mid=0</t>
    <phoneticPr fontId="2" type="noConversion"/>
  </si>
  <si>
    <t>參考資料:</t>
    <phoneticPr fontId="2" type="noConversion"/>
  </si>
  <si>
    <t>http://www.cuhk.edu.hk/adm/jupas/useful-info2020.pdf</t>
  </si>
  <si>
    <t>http://www.cuhk.edu.hk/adm/jupas/admission-grades-2019.pdf</t>
  </si>
  <si>
    <t>http://admission.cuhk.edu.hk/jupas/download.html</t>
  </si>
  <si>
    <t>https://www51.polyu.edu.hk/eprospectus/ug/jupas/programme-requirements</t>
  </si>
  <si>
    <t>https://www51.polyu.edu.hk/eprospectus/ug/jupas/admission-selection</t>
  </si>
  <si>
    <t>https://www.polyu.edu.hk/aradm/jupas/admission_figures.pdf</t>
  </si>
  <si>
    <t>待確認</t>
    <phoneticPr fontId="2" type="noConversion"/>
  </si>
  <si>
    <t>https://admissions.hkbu.edu.hk/en/hkdse.html</t>
    <phoneticPr fontId="2" type="noConversion"/>
  </si>
  <si>
    <t>https://admissions.hkbu.edu.hk/en/programmes-offer.html</t>
  </si>
  <si>
    <t>https://www.cityu.edu.hk/admo/hkdse/scores/jupas_scores2019.pdf</t>
  </si>
  <si>
    <t>https://www.admo.cityu.edu.hk/jupas/entreq/bd/</t>
  </si>
  <si>
    <t>https://www.admo.cityu.edu.hk/assessment/score_calculation/</t>
  </si>
  <si>
    <t>https://join.ust.hk/docs/adm_figures/2019_adm_figures.pdf</t>
  </si>
  <si>
    <t>https://join.ust.hk/jupas-score/</t>
  </si>
  <si>
    <t>https://aal.hku.hk/admissions/local/sites/default/files/2019%20Admissions%20Score.pdf</t>
  </si>
  <si>
    <t>不會參考的資料:</t>
    <phoneticPr fontId="2" type="noConversion"/>
  </si>
  <si>
    <t>https://aal.hku.hk/admissions/local/sites/default/files/JU20E2.pdf</t>
  </si>
  <si>
    <t>(Expected Score)(完全唔準)</t>
    <phoneticPr fontId="2" type="noConversion"/>
  </si>
  <si>
    <t>https://aal.hku.hk/admissions/local/admissions-information?page=jupas-admissions-scheme</t>
  </si>
  <si>
    <t>https://aal.hku.hk/sites/default/files/2019%20Programme%20Admissions%20Information.pdf</t>
  </si>
  <si>
    <t>https://aal.hku.hk/admissions/cms/sites/default/files/2020%20Programme%20Admissions%20Information.pdf</t>
  </si>
  <si>
    <t>https://www.ln.edu.hk/admissions/ug/jupas/admission-score/jupas-score-calculator</t>
  </si>
  <si>
    <t>https://www.ln.edu.hk/admissions/ug/jupas/admission-score/subject-weighting</t>
  </si>
  <si>
    <t>https://www.ln.edu.hk/admissions/ug/f/page/39/923/2019-admissionscores.pdf</t>
  </si>
  <si>
    <t>https://www.eduhk.hk/degree/admission%20scores_2019.pdf</t>
  </si>
  <si>
    <t>https://www.eduhk.hk/degree/jupas.htm</t>
  </si>
  <si>
    <t>4C1X</t>
  </si>
  <si>
    <t>4C1X</t>
    <phoneticPr fontId="2" type="noConversion"/>
  </si>
  <si>
    <t>人文社會科學院</t>
  </si>
  <si>
    <t>李兆基商業管理學院</t>
    <phoneticPr fontId="2" type="noConversion"/>
  </si>
  <si>
    <t>教育及語文學院</t>
    <phoneticPr fontId="2" type="noConversion"/>
  </si>
  <si>
    <t xml:space="preserve">	護理及健康學院</t>
    <phoneticPr fontId="2" type="noConversion"/>
  </si>
  <si>
    <t>科技學院</t>
    <phoneticPr fontId="2" type="noConversion"/>
  </si>
  <si>
    <t>OUHK</t>
  </si>
  <si>
    <t>OUHK</t>
    <phoneticPr fontId="2" type="noConversion"/>
  </si>
  <si>
    <r>
      <t>*公大公佈的分數為</t>
    </r>
    <r>
      <rPr>
        <b/>
        <sz val="10"/>
        <color theme="1"/>
        <rFont val="微軟正黑體"/>
        <family val="2"/>
        <charset val="136"/>
      </rPr>
      <t>已計比重的分數</t>
    </r>
    <r>
      <rPr>
        <sz val="10"/>
        <color theme="1"/>
        <rFont val="微軟正黑體"/>
        <family val="2"/>
        <charset val="136"/>
      </rPr>
      <t>，只供參考。</t>
    </r>
    <phoneticPr fontId="2" type="noConversion"/>
  </si>
  <si>
    <t>http://www.ouhk.edu.hk/wcsprd/Satellite?c=C_CFTS&amp;cid=1385194857860&amp;d=Touch&amp;lang=eng&amp;mid=0&amp;pagename=OUHK%2FtcSingPage</t>
  </si>
  <si>
    <t>物/生</t>
    <phoneticPr fontId="2" type="noConversion"/>
  </si>
  <si>
    <t>JSSA01</t>
  </si>
  <si>
    <t>Bachelor of Nursing (Honours)</t>
  </si>
  <si>
    <t>JSSA02</t>
  </si>
  <si>
    <t>Bachelor of Science (Honours) in Digital Entertainment TechnologyUPDATED</t>
  </si>
  <si>
    <t>JSSC02</t>
  </si>
  <si>
    <t>珠海學院</t>
  </si>
  <si>
    <t>Bachelor of Science (Honours) in Architecture</t>
  </si>
  <si>
    <t>JSSC03</t>
  </si>
  <si>
    <t>Bachelor of Science (Honours) in Computer Science</t>
  </si>
  <si>
    <t>JSSC04</t>
  </si>
  <si>
    <t>Bachelor of Arts (Honours) in Communication and Crossmedia</t>
  </si>
  <si>
    <t>JSSH01</t>
  </si>
  <si>
    <t>Bachelor of Business Administration (Honours) in Supply Chain Management</t>
  </si>
  <si>
    <t>JSSH02</t>
  </si>
  <si>
    <t>Bachelor of Science (Honours) in Actuarial Studies and Insurance</t>
  </si>
  <si>
    <t>JSSH03</t>
  </si>
  <si>
    <t>Bachelor of Arts (Honours) in Applied and Human-Centred Computing</t>
  </si>
  <si>
    <t>JSSH04</t>
  </si>
  <si>
    <t>Bachelor of Science (Honours) in Data Science and Business Intelligence</t>
  </si>
  <si>
    <t>JSSH05</t>
  </si>
  <si>
    <t>Bachelor of Management Science and Information Management (Honours)</t>
  </si>
  <si>
    <t>JSST01</t>
  </si>
  <si>
    <t>東華學院</t>
  </si>
  <si>
    <t>Bachelor of Health Science (Honours) in Nursing</t>
  </si>
  <si>
    <t>JSST02</t>
  </si>
  <si>
    <t>Bachelor of Science (Honours) in Medical Laboratory Science</t>
  </si>
  <si>
    <t>JSST03</t>
  </si>
  <si>
    <t>Bachelor of Science (Honours) in Radiation Therapy</t>
  </si>
  <si>
    <t>JSST04</t>
  </si>
  <si>
    <t>Bachelor of Science (Honours) in Occupational TherapyUPDATED</t>
  </si>
  <si>
    <t>JSST05</t>
  </si>
  <si>
    <t>Bachelor of Science (Honours) in Physiotherapy</t>
  </si>
  <si>
    <t>JSSU12</t>
  </si>
  <si>
    <t>公開大學</t>
  </si>
  <si>
    <t>創意寫作與電影藝術榮譽文學士</t>
  </si>
  <si>
    <t>Bachelor of Arts with Honours in Creative Writing and Film Arts</t>
  </si>
  <si>
    <t>JSSU14</t>
  </si>
  <si>
    <t>動畫及視覺特效榮譽藝術學士</t>
  </si>
  <si>
    <t>Bachelor of Fine Arts with Honours in Animation and Visual Effects</t>
  </si>
  <si>
    <t>JSSU15</t>
  </si>
  <si>
    <t>影像設計及數碼藝術榮譽藝術學士</t>
  </si>
  <si>
    <t>Bachelor of Fine Arts with Honours in Imaging Design and Digital ArtUPDATED</t>
  </si>
  <si>
    <t>JSSU40</t>
  </si>
  <si>
    <t>護理學榮譽學士（普通科）</t>
  </si>
  <si>
    <t>Bachelor of Nursing with Honours in General Health Care</t>
  </si>
  <si>
    <t>JSSU50</t>
  </si>
  <si>
    <t>護理學榮譽學士（精神科）</t>
  </si>
  <si>
    <t>Bachelor of Nursing with Honours in Mental Health Care</t>
  </si>
  <si>
    <t>JSSU65</t>
  </si>
  <si>
    <t>檢測和認證榮譽工學士</t>
  </si>
  <si>
    <t>Bachelor of Engineering with Honours in Testing and Certification</t>
  </si>
  <si>
    <t>JSSU68</t>
  </si>
  <si>
    <t>檢測科學和認證榮譽理學士</t>
  </si>
  <si>
    <t>Bachelor of Science with Honours in Testing Science and Certification</t>
  </si>
  <si>
    <t>JSSU71</t>
  </si>
  <si>
    <t>互聯網科技榮譽電腦學學士</t>
  </si>
  <si>
    <t>Bachelor of Computing with Honours in Internet Technology</t>
  </si>
  <si>
    <t>JSSU90</t>
  </si>
  <si>
    <t>國際款待及景區管理榮譽學士</t>
  </si>
  <si>
    <t>Bachelor of International Hospitality and Attractions Management with Honours</t>
  </si>
  <si>
    <t>JSSU95</t>
  </si>
  <si>
    <t>運動及康樂管理榮譽學士</t>
  </si>
  <si>
    <t>Bachelor of Sports and Recreation Management with Honours</t>
  </si>
  <si>
    <t>JSSU96</t>
  </si>
  <si>
    <t>金融科技及創新榮譽工商管理學士</t>
  </si>
  <si>
    <t>Bachelor of Business Administration with Honours in Financial Technology and Innovation</t>
  </si>
  <si>
    <t>JSSU97</t>
  </si>
  <si>
    <t>環球市場及供應鏈榮譽工商管理學士</t>
  </si>
  <si>
    <t>Bachelor of Business Administration with Honours in Global Marketing and Supply Chain Management</t>
  </si>
  <si>
    <t>JSSV01</t>
  </si>
  <si>
    <t>時裝設計（榮譽）文學士</t>
  </si>
  <si>
    <t>Bachelor of Arts (Honours) in Fashion Design</t>
  </si>
  <si>
    <t>JSSV02</t>
  </si>
  <si>
    <t>產品設計（榮譽）文學士</t>
  </si>
  <si>
    <t>Bachelor of Arts (Honours) in Product Design</t>
  </si>
  <si>
    <t>JSSV03</t>
  </si>
  <si>
    <t>園境建築（榮譽）文學士</t>
  </si>
  <si>
    <t>Bachelor of Arts (Honours) in Landscape Architecture</t>
  </si>
  <si>
    <t>JSSV04</t>
  </si>
  <si>
    <t>廚藝及管理（榮譽）文學士</t>
  </si>
  <si>
    <t>Bachelor of Arts (Honours) in Culinary Arts and Management</t>
  </si>
  <si>
    <t>JSSV05</t>
  </si>
  <si>
    <t>土木工程（榮譽）工學士</t>
  </si>
  <si>
    <t>Bachelor of Engineering (Honours) in Civil Engineering</t>
  </si>
  <si>
    <t>JSSV07</t>
  </si>
  <si>
    <t>園藝樹藝及園境管理（榮譽）理學士</t>
  </si>
  <si>
    <t>Bachelor of Science (Honours) in Horticulture, Arboriculture and Landscape Management*UPDATED</t>
  </si>
  <si>
    <t>JSSV08</t>
  </si>
  <si>
    <t>測量學（榮譽）理學士</t>
  </si>
  <si>
    <t>Bachelor of Science (Honours) in Surveying</t>
  </si>
  <si>
    <t>JSSV09</t>
  </si>
  <si>
    <t>運動及康樂管理（榮譽）社會科學學士</t>
  </si>
  <si>
    <t>Bachelor of Social Sciences (Honours) in Sports and Recreation Management</t>
  </si>
  <si>
    <t>JSSV11</t>
  </si>
  <si>
    <t>創新及多媒體科技（榮譽）理學士</t>
  </si>
  <si>
    <t>Bachelor of Science (Honours) in Multimedia Technology and Innovation</t>
  </si>
  <si>
    <t>JSSV12</t>
  </si>
  <si>
    <t>資訊及通訊科技（榮譽）理學士</t>
  </si>
  <si>
    <t>Bachelor of Science (Honours) in Information and Communications Technology</t>
  </si>
  <si>
    <t>明愛專上學院</t>
  </si>
  <si>
    <t>護理學榮譽學士</t>
  </si>
  <si>
    <t>數碼娛樂科技榮譽理學士</t>
  </si>
  <si>
    <t>建築學（榮譽）理學士</t>
  </si>
  <si>
    <t>資訊科學（榮譽）理學士</t>
  </si>
  <si>
    <t>傳播及跨媒體（榮譽）文學士</t>
  </si>
  <si>
    <t>恒生大學</t>
  </si>
  <si>
    <t>供應鏈管理工商管理（榮譽）學士</t>
  </si>
  <si>
    <t>精算及保險 （榮譽）理學士</t>
  </si>
  <si>
    <t>應用及人本計算學（榮譽）文學士</t>
  </si>
  <si>
    <t>數據科學及商業智能學（榮譽）理學士</t>
  </si>
  <si>
    <t>管理科學與資訊管理（榮譽）學士</t>
  </si>
  <si>
    <t>護理學（榮譽）健康科學學士</t>
  </si>
  <si>
    <t>醫療化驗科學（榮譽）理學士</t>
  </si>
  <si>
    <t>放射治療學（榮譽）理學士</t>
  </si>
  <si>
    <t>職業治療學（榮譽）理學士</t>
  </si>
  <si>
    <t>物理治療學(榮譽)理學士</t>
  </si>
  <si>
    <t>THEi</t>
  </si>
  <si>
    <t>差距(UQ)</t>
  </si>
  <si>
    <t>已新增公開大學(JS9XXX)</t>
    <phoneticPr fontId="2" type="noConversion"/>
  </si>
  <si>
    <t>Thei</t>
    <phoneticPr fontId="2" type="noConversion"/>
  </si>
  <si>
    <t>珠海</t>
    <phoneticPr fontId="2" type="noConversion"/>
  </si>
  <si>
    <t>https://www.jupas.edu.hk/f/page/3669/af_2019_SSSDP.pdf</t>
  </si>
  <si>
    <r>
      <t>*SSSDP公佈的分數包括</t>
    </r>
    <r>
      <rPr>
        <b/>
        <sz val="10"/>
        <color theme="1"/>
        <rFont val="微軟正黑體"/>
        <family val="2"/>
        <charset val="136"/>
      </rPr>
      <t>已計比重的分數，以及平均分數</t>
    </r>
    <r>
      <rPr>
        <sz val="10"/>
        <color theme="1"/>
        <rFont val="微軟正黑體"/>
        <family val="2"/>
        <charset val="136"/>
      </rPr>
      <t>，只供參考。</t>
    </r>
    <phoneticPr fontId="2" type="noConversion"/>
  </si>
  <si>
    <t>SSSDP</t>
    <phoneticPr fontId="2" type="noConversion"/>
  </si>
  <si>
    <r>
      <rPr>
        <b/>
        <sz val="12"/>
        <color theme="1"/>
        <rFont val="微軟正黑體"/>
        <family val="2"/>
        <charset val="136"/>
      </rPr>
      <t>詳細資料及比重</t>
    </r>
    <r>
      <rPr>
        <sz val="12"/>
        <color theme="1"/>
        <rFont val="微軟正黑體"/>
        <family val="2"/>
        <charset val="136"/>
      </rPr>
      <t>請前往院校分頁</t>
    </r>
    <phoneticPr fontId="2" type="noConversion"/>
  </si>
  <si>
    <t>已新增SSSDP課程</t>
    <phoneticPr fontId="2" type="noConversion"/>
  </si>
  <si>
    <t xml:space="preserve">v3.0 </t>
    <phoneticPr fontId="2" type="noConversion"/>
  </si>
  <si>
    <t>已更新HKU商科首頁顯示錯位問題</t>
    <phoneticPr fontId="2" type="noConversion"/>
  </si>
  <si>
    <t>已更新首頁計分器百分比顯示異常問題</t>
    <phoneticPr fontId="2" type="noConversion"/>
  </si>
  <si>
    <t>v3.1</t>
    <phoneticPr fontId="2" type="noConversion"/>
  </si>
  <si>
    <t xml:space="preserve"> </t>
    <phoneticPr fontId="2" type="noConversion"/>
  </si>
  <si>
    <t>v3.2.1</t>
    <phoneticPr fontId="2" type="noConversion"/>
  </si>
  <si>
    <t>已更新首頁計分器 JS6157 UQ數值</t>
    <phoneticPr fontId="2" type="noConversion"/>
  </si>
  <si>
    <t>已更正SSSDP課程資格顯示錯誤</t>
    <phoneticPr fontId="2" type="noConversion"/>
  </si>
  <si>
    <t>已更新首頁計分器 SSSDP資料</t>
    <phoneticPr fontId="2" type="noConversion"/>
  </si>
  <si>
    <t>https://docs.google.com/document/d/1PlgUZLuVP2pIiE0wXQdSt3xS2cCTpqnndAf5P1JKOtk/edit</t>
  </si>
  <si>
    <t>O&amp;A 及使用須知:</t>
    <phoneticPr fontId="2" type="noConversion"/>
  </si>
  <si>
    <t>v3.2.3</t>
    <phoneticPr fontId="2" type="noConversion"/>
  </si>
  <si>
    <t>v3.2.4</t>
    <phoneticPr fontId="2" type="noConversion"/>
  </si>
  <si>
    <t>已更正JS6729 HKU 精算 入學要求顯示錯誤問題</t>
    <phoneticPr fontId="2" type="noConversion"/>
  </si>
  <si>
    <t>請選擇等級</t>
    <phoneticPr fontId="2" type="noConversion"/>
  </si>
  <si>
    <r>
      <t>每次使用前請檢查計分器是否為</t>
    </r>
    <r>
      <rPr>
        <b/>
        <sz val="14"/>
        <color rgb="FFFF0000"/>
        <rFont val="微軟正黑體"/>
        <family val="2"/>
        <charset val="136"/>
      </rPr>
      <t>最新版本</t>
    </r>
    <r>
      <rPr>
        <b/>
        <sz val="11"/>
        <color rgb="FFFF0000"/>
        <rFont val="微軟正黑體"/>
        <family val="2"/>
        <charset val="136"/>
      </rPr>
      <t>:</t>
    </r>
    <phoneticPr fontId="2" type="noConversion"/>
  </si>
  <si>
    <t>音樂</t>
    <phoneticPr fontId="2" type="noConversion"/>
  </si>
  <si>
    <t>JS1207</t>
    <phoneticPr fontId="2" type="noConversion"/>
  </si>
  <si>
    <t>創意媒體學院</t>
    <phoneticPr fontId="2" type="noConversion"/>
  </si>
  <si>
    <t>文理學士(新媒體)</t>
    <phoneticPr fontId="2" type="noConversion"/>
  </si>
  <si>
    <t>傳理學院</t>
    <phoneticPr fontId="2" type="noConversion"/>
  </si>
  <si>
    <t>視覺藝術院</t>
    <phoneticPr fontId="2" type="noConversion"/>
  </si>
  <si>
    <t>JS6793</t>
    <phoneticPr fontId="2" type="noConversion"/>
  </si>
  <si>
    <t>請選擇第四選修科</t>
  </si>
  <si>
    <t>請選擇語言科目</t>
  </si>
  <si>
    <t>v3.2.6 UPDATE PATCH:</t>
    <phoneticPr fontId="2" type="noConversion"/>
  </si>
  <si>
    <t xml:space="preserve">v3.2.5 </t>
    <phoneticPr fontId="2" type="noConversion"/>
  </si>
  <si>
    <t>請選擇第一選修科</t>
  </si>
  <si>
    <t>請選擇第二選修科</t>
  </si>
  <si>
    <t>請選擇第三選修科</t>
  </si>
  <si>
    <t>已更正JS1211 及 JS1805科目比重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</si>
</sst>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0"/>
    <numFmt numFmtId="177" formatCode="\(\+0%\);\(\-0%\);\(0%\)"/>
    <numFmt numFmtId="178" formatCode="0.00_);[Red]\(0.00\)"/>
    <numFmt numFmtId="179" formatCode="0.00_ ;[Red]\-0.00\ "/>
    <numFmt numFmtId="180" formatCode="\+0%;\-0%;0%"/>
  </numFmts>
  <fonts count="39">
    <font>
      <sz val="12"/>
      <color theme="1"/>
      <name val="新細明體"/>
      <family val="2"/>
      <charset val="136"/>
      <scheme val="minor"/>
    </font>
    <font>
      <sz val="10"/>
      <color theme="1"/>
      <name val="微軟正黑體"/>
      <family val="2"/>
      <charset val="136"/>
    </font>
    <font>
      <sz val="9"/>
      <name val="新細明體"/>
      <family val="2"/>
      <charset val="136"/>
      <scheme val="minor"/>
    </font>
    <font>
      <sz val="9"/>
      <color theme="1"/>
      <name val="微軟正黑體"/>
      <family val="2"/>
      <charset val="136"/>
    </font>
    <font>
      <sz val="9"/>
      <name val="新細明體"/>
      <family val="3"/>
      <charset val="136"/>
      <scheme val="minor"/>
    </font>
    <font>
      <sz val="12"/>
      <color theme="1"/>
      <name val="微軟正黑體"/>
      <family val="2"/>
      <charset val="136"/>
    </font>
    <font>
      <b/>
      <sz val="12"/>
      <color theme="1"/>
      <name val="微軟正黑體"/>
      <family val="2"/>
      <charset val="136"/>
    </font>
    <font>
      <sz val="9"/>
      <color indexed="81"/>
      <name val="Tahoma"/>
      <family val="2"/>
    </font>
    <font>
      <b/>
      <sz val="9"/>
      <color indexed="81"/>
      <name val="Tahoma"/>
      <family val="2"/>
    </font>
    <font>
      <b/>
      <sz val="9"/>
      <color indexed="81"/>
      <name val="細明體"/>
      <family val="3"/>
      <charset val="136"/>
    </font>
    <font>
      <sz val="10"/>
      <color rgb="FF434343"/>
      <name val="微軟正黑體"/>
      <family val="2"/>
      <charset val="136"/>
    </font>
    <font>
      <b/>
      <sz val="8"/>
      <color indexed="81"/>
      <name val="Tahoma"/>
      <family val="2"/>
    </font>
    <font>
      <sz val="12"/>
      <color theme="1"/>
      <name val="新細明體"/>
      <family val="2"/>
      <charset val="136"/>
      <scheme val="minor"/>
    </font>
    <font>
      <b/>
      <sz val="10"/>
      <color theme="1"/>
      <name val="微軟正黑體"/>
      <family val="2"/>
      <charset val="136"/>
    </font>
    <font>
      <sz val="10"/>
      <color theme="2" tint="-0.249977111117893"/>
      <name val="微軟正黑體"/>
      <family val="2"/>
      <charset val="136"/>
    </font>
    <font>
      <sz val="8"/>
      <color indexed="81"/>
      <name val="Tahoma"/>
      <family val="2"/>
    </font>
    <font>
      <sz val="10"/>
      <name val="微軟正黑體"/>
      <family val="2"/>
      <charset val="136"/>
    </font>
    <font>
      <sz val="9"/>
      <color indexed="81"/>
      <name val="細明體"/>
      <family val="3"/>
      <charset val="136"/>
    </font>
    <font>
      <sz val="12"/>
      <color rgb="FF434343"/>
      <name val="微軟正黑體"/>
      <family val="2"/>
      <charset val="136"/>
    </font>
    <font>
      <b/>
      <sz val="10"/>
      <color theme="5" tint="-0.499984740745262"/>
      <name val="微軟正黑體"/>
      <family val="2"/>
      <charset val="136"/>
    </font>
    <font>
      <sz val="12"/>
      <color theme="4" tint="-0.249977111117893"/>
      <name val="微軟正黑體"/>
      <family val="2"/>
      <charset val="136"/>
    </font>
    <font>
      <b/>
      <sz val="10"/>
      <color theme="2" tint="-0.249977111117893"/>
      <name val="微軟正黑體"/>
      <family val="2"/>
      <charset val="136"/>
    </font>
    <font>
      <b/>
      <sz val="10"/>
      <color theme="0"/>
      <name val="微軟正黑體"/>
      <family val="2"/>
      <charset val="136"/>
    </font>
    <font>
      <sz val="12"/>
      <color theme="0"/>
      <name val="微軟正黑體"/>
      <family val="2"/>
      <charset val="136"/>
    </font>
    <font>
      <b/>
      <sz val="10"/>
      <name val="微軟正黑體"/>
      <family val="2"/>
      <charset val="136"/>
    </font>
    <font>
      <sz val="10"/>
      <color theme="4" tint="-0.249977111117893"/>
      <name val="微軟正黑體"/>
      <family val="2"/>
      <charset val="136"/>
    </font>
    <font>
      <sz val="10"/>
      <color theme="0"/>
      <name val="微軟正黑體"/>
      <family val="2"/>
      <charset val="136"/>
    </font>
    <font>
      <b/>
      <sz val="9"/>
      <color rgb="FF000000"/>
      <name val="細明體"/>
      <family val="3"/>
      <charset val="136"/>
    </font>
    <font>
      <b/>
      <sz val="12"/>
      <color rgb="FFFF0000"/>
      <name val="微軟正黑體"/>
      <family val="2"/>
      <charset val="136"/>
    </font>
    <font>
      <u/>
      <sz val="12"/>
      <color theme="10"/>
      <name val="新細明體"/>
      <family val="2"/>
      <charset val="136"/>
      <scheme val="minor"/>
    </font>
    <font>
      <b/>
      <sz val="8"/>
      <color theme="1"/>
      <name val="微軟正黑體"/>
      <family val="2"/>
      <charset val="136"/>
    </font>
    <font>
      <b/>
      <sz val="11"/>
      <color theme="1"/>
      <name val="微軟正黑體"/>
      <family val="2"/>
      <charset val="136"/>
    </font>
    <font>
      <b/>
      <sz val="20"/>
      <color theme="1"/>
      <name val="微軟正黑體"/>
      <family val="2"/>
      <charset val="136"/>
    </font>
    <font>
      <b/>
      <sz val="9"/>
      <color theme="1"/>
      <name val="微軟正黑體"/>
      <family val="2"/>
      <charset val="136"/>
    </font>
    <font>
      <u/>
      <sz val="12"/>
      <color theme="10"/>
      <name val="微軟正黑體"/>
      <family val="2"/>
      <charset val="136"/>
    </font>
    <font>
      <u/>
      <sz val="10"/>
      <color theme="10"/>
      <name val="微軟正黑體"/>
      <family val="2"/>
      <charset val="136"/>
    </font>
    <font>
      <b/>
      <sz val="14"/>
      <color rgb="FFFF0000"/>
      <name val="微軟正黑體"/>
      <family val="2"/>
      <charset val="136"/>
    </font>
    <font>
      <b/>
      <sz val="11"/>
      <color rgb="FFFF0000"/>
      <name val="微軟正黑體"/>
      <family val="2"/>
      <charset val="136"/>
    </font>
    <font>
      <sz val="9"/>
      <color rgb="FF000000"/>
      <name val="Microsoft JhengHei UI"/>
      <family val="2"/>
      <charset val="136"/>
    </font>
  </fonts>
  <fills count="29">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rgb="FFA04310"/>
        <bgColor indexed="64"/>
      </patternFill>
    </fill>
    <fill>
      <patternFill patternType="solid">
        <fgColor rgb="FFEFDDDD"/>
        <bgColor indexed="64"/>
      </patternFill>
    </fill>
    <fill>
      <patternFill patternType="solid">
        <fgColor theme="4" tint="0.59999389629810485"/>
        <bgColor indexed="64"/>
      </patternFill>
    </fill>
    <fill>
      <patternFill patternType="solid">
        <fgColor rgb="FF6600CC"/>
        <bgColor indexed="64"/>
      </patternFill>
    </fill>
    <fill>
      <patternFill patternType="solid">
        <fgColor rgb="FFE241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CC0066"/>
        <bgColor indexed="64"/>
      </patternFill>
    </fill>
    <fill>
      <patternFill patternType="solid">
        <fgColor rgb="FFFFEBFF"/>
        <bgColor indexed="64"/>
      </patternFill>
    </fill>
    <fill>
      <patternFill patternType="solid">
        <fgColor rgb="FFCC0000"/>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ECE9D8"/>
        <bgColor indexed="64"/>
      </patternFill>
    </fill>
    <fill>
      <patternFill patternType="solid">
        <fgColor rgb="FFD1DAFF"/>
        <bgColor indexed="64"/>
      </patternFill>
    </fill>
    <fill>
      <patternFill patternType="solid">
        <fgColor theme="8" tint="-0.499984740745262"/>
        <bgColor indexed="64"/>
      </patternFill>
    </fill>
    <fill>
      <patternFill patternType="solid">
        <fgColor theme="7"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9" fontId="12" fillId="0" borderId="0" applyFont="0" applyFill="0" applyBorder="0" applyAlignment="0" applyProtection="0">
      <alignment vertical="center"/>
    </xf>
    <xf numFmtId="0" fontId="29" fillId="0" borderId="0" applyNumberFormat="0" applyFill="0" applyBorder="0" applyAlignment="0" applyProtection="0">
      <alignment vertical="center"/>
    </xf>
  </cellStyleXfs>
  <cellXfs count="323">
    <xf numFmtId="0" fontId="0" fillId="0" borderId="0" xfId="0">
      <alignment vertical="center"/>
    </xf>
    <xf numFmtId="0" fontId="3" fillId="0" borderId="0" xfId="0" applyFont="1" applyFill="1" applyAlignment="1">
      <alignment horizontal="center"/>
    </xf>
    <xf numFmtId="0" fontId="1" fillId="0" borderId="0" xfId="0" applyFont="1" applyFill="1" applyAlignment="1">
      <alignment horizontal="center"/>
    </xf>
    <xf numFmtId="0" fontId="6" fillId="0" borderId="0" xfId="0" applyFont="1" applyBorder="1">
      <alignment vertical="center"/>
    </xf>
    <xf numFmtId="0" fontId="5" fillId="2" borderId="0" xfId="0" applyFont="1" applyFill="1" applyBorder="1">
      <alignment vertical="center"/>
    </xf>
    <xf numFmtId="0" fontId="5" fillId="2" borderId="0" xfId="0" applyFont="1" applyFill="1" applyBorder="1" applyAlignment="1">
      <alignment horizontal="left" vertical="top"/>
    </xf>
    <xf numFmtId="0" fontId="6" fillId="2" borderId="0" xfId="0" applyFont="1" applyFill="1" applyBorder="1">
      <alignment vertical="center"/>
    </xf>
    <xf numFmtId="0" fontId="6" fillId="3" borderId="0" xfId="0" applyFont="1" applyFill="1" applyBorder="1">
      <alignment vertical="center"/>
    </xf>
    <xf numFmtId="0" fontId="5" fillId="3" borderId="0" xfId="0" applyFont="1" applyFill="1" applyBorder="1">
      <alignment vertical="center"/>
    </xf>
    <xf numFmtId="0" fontId="5" fillId="3" borderId="0" xfId="0" applyFont="1" applyFill="1" applyBorder="1" applyAlignment="1">
      <alignment horizontal="left" vertical="top"/>
    </xf>
    <xf numFmtId="0" fontId="5" fillId="5" borderId="0" xfId="0" applyFont="1" applyFill="1" applyBorder="1">
      <alignment vertical="center"/>
    </xf>
    <xf numFmtId="0" fontId="5" fillId="5" borderId="0" xfId="0" applyFont="1" applyFill="1" applyBorder="1" applyAlignment="1">
      <alignment horizontal="left" vertical="top"/>
    </xf>
    <xf numFmtId="0" fontId="6" fillId="5" borderId="0" xfId="0" applyFont="1" applyFill="1" applyBorder="1">
      <alignment vertical="center"/>
    </xf>
    <xf numFmtId="0" fontId="6" fillId="0" borderId="0" xfId="0" applyFont="1" applyFill="1" applyBorder="1">
      <alignment vertical="center"/>
    </xf>
    <xf numFmtId="0" fontId="6" fillId="6" borderId="0" xfId="0" applyFont="1" applyFill="1">
      <alignment vertical="center"/>
    </xf>
    <xf numFmtId="0" fontId="5" fillId="6" borderId="0" xfId="0" applyFont="1" applyFill="1">
      <alignment vertical="center"/>
    </xf>
    <xf numFmtId="0" fontId="1" fillId="0" borderId="0" xfId="0" applyFont="1">
      <alignment vertical="center"/>
    </xf>
    <xf numFmtId="0" fontId="10" fillId="0" borderId="0" xfId="0" applyFont="1">
      <alignment vertical="center"/>
    </xf>
    <xf numFmtId="0" fontId="13" fillId="4" borderId="0" xfId="0" applyFont="1" applyFill="1">
      <alignment vertical="center"/>
    </xf>
    <xf numFmtId="0" fontId="1" fillId="4" borderId="0" xfId="0" applyFont="1" applyFill="1">
      <alignment vertical="center"/>
    </xf>
    <xf numFmtId="0" fontId="0" fillId="4" borderId="0" xfId="0" applyFill="1">
      <alignment vertical="center"/>
    </xf>
    <xf numFmtId="0" fontId="14" fillId="4" borderId="0" xfId="0" applyFont="1" applyFill="1" applyAlignment="1">
      <alignment horizontal="center" vertical="center"/>
    </xf>
    <xf numFmtId="176" fontId="1" fillId="4" borderId="0" xfId="0" applyNumberFormat="1" applyFont="1" applyFill="1" applyAlignment="1">
      <alignment horizontal="center" vertical="center"/>
    </xf>
    <xf numFmtId="177" fontId="1" fillId="4" borderId="0" xfId="1" applyNumberFormat="1" applyFont="1" applyFill="1" applyAlignment="1">
      <alignment horizontal="center" vertical="center"/>
    </xf>
    <xf numFmtId="0" fontId="16" fillId="4" borderId="0" xfId="0" applyFont="1" applyFill="1">
      <alignment vertical="center"/>
    </xf>
    <xf numFmtId="0" fontId="1" fillId="7" borderId="0" xfId="0" applyFont="1" applyFill="1">
      <alignment vertical="center"/>
    </xf>
    <xf numFmtId="0" fontId="14" fillId="7" borderId="0" xfId="0" applyFont="1" applyFill="1" applyAlignment="1">
      <alignment horizontal="center" vertical="center"/>
    </xf>
    <xf numFmtId="176" fontId="1" fillId="7" borderId="0" xfId="0" applyNumberFormat="1" applyFont="1" applyFill="1" applyAlignment="1">
      <alignment horizontal="center" vertical="center"/>
    </xf>
    <xf numFmtId="177" fontId="1" fillId="7" borderId="0" xfId="1" applyNumberFormat="1" applyFont="1" applyFill="1" applyAlignment="1">
      <alignment horizontal="center" vertical="center"/>
    </xf>
    <xf numFmtId="0" fontId="16" fillId="7" borderId="0" xfId="0" applyFont="1" applyFill="1">
      <alignment vertical="center"/>
    </xf>
    <xf numFmtId="0" fontId="1" fillId="7" borderId="0" xfId="0" applyFont="1" applyFill="1" applyAlignment="1">
      <alignment horizontal="center" vertical="center"/>
    </xf>
    <xf numFmtId="0" fontId="10" fillId="7" borderId="0" xfId="0" applyFont="1" applyFill="1">
      <alignment vertical="center"/>
    </xf>
    <xf numFmtId="0" fontId="0" fillId="4" borderId="0" xfId="0" applyFill="1" applyAlignment="1">
      <alignment horizontal="center" vertical="center"/>
    </xf>
    <xf numFmtId="0" fontId="1" fillId="7" borderId="0" xfId="0" applyFont="1" applyFill="1" applyAlignment="1">
      <alignment vertical="center"/>
    </xf>
    <xf numFmtId="0" fontId="1" fillId="0" borderId="0" xfId="0" applyFont="1" applyAlignment="1">
      <alignment vertical="center"/>
    </xf>
    <xf numFmtId="0" fontId="1" fillId="4" borderId="0" xfId="0" applyFont="1" applyFill="1" applyAlignment="1">
      <alignment vertical="center"/>
    </xf>
    <xf numFmtId="0" fontId="16" fillId="7" borderId="0" xfId="0" applyFont="1" applyFill="1" applyAlignment="1">
      <alignment horizontal="center" vertical="center"/>
    </xf>
    <xf numFmtId="0" fontId="13" fillId="0" borderId="0" xfId="0" applyFont="1" applyFill="1">
      <alignment vertical="center"/>
    </xf>
    <xf numFmtId="0" fontId="1" fillId="0" borderId="0" xfId="0" applyFont="1" applyFill="1">
      <alignment vertical="center"/>
    </xf>
    <xf numFmtId="0" fontId="10" fillId="0" borderId="0" xfId="0" applyFont="1" applyFill="1">
      <alignment vertical="center"/>
    </xf>
    <xf numFmtId="0" fontId="5" fillId="0" borderId="0" xfId="0" applyFont="1" applyFill="1" applyAlignment="1">
      <alignment horizontal="center"/>
    </xf>
    <xf numFmtId="0" fontId="18" fillId="0" borderId="0" xfId="0" applyFont="1" applyFill="1">
      <alignment vertical="center"/>
    </xf>
    <xf numFmtId="0" fontId="13" fillId="0" borderId="0" xfId="0" applyFont="1">
      <alignment vertical="center"/>
    </xf>
    <xf numFmtId="0" fontId="5" fillId="0" borderId="0" xfId="0" applyFont="1">
      <alignment vertical="center"/>
    </xf>
    <xf numFmtId="0" fontId="6" fillId="0" borderId="0" xfId="0" applyFont="1">
      <alignment vertical="center"/>
    </xf>
    <xf numFmtId="0" fontId="13" fillId="7"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xf>
    <xf numFmtId="0" fontId="1" fillId="0" borderId="0" xfId="0" applyFont="1" applyFill="1" applyAlignment="1">
      <alignment horizontal="center" vertical="center"/>
    </xf>
    <xf numFmtId="0" fontId="5" fillId="0" borderId="0" xfId="0" applyFont="1" applyFill="1">
      <alignment vertical="center"/>
    </xf>
    <xf numFmtId="0" fontId="6" fillId="0" borderId="0" xfId="0" applyNumberFormat="1" applyFont="1">
      <alignment vertical="center"/>
    </xf>
    <xf numFmtId="0" fontId="5" fillId="0" borderId="0" xfId="0" applyNumberFormat="1" applyFont="1">
      <alignment vertical="center"/>
    </xf>
    <xf numFmtId="0" fontId="5" fillId="6" borderId="0" xfId="0" applyNumberFormat="1" applyFont="1" applyFill="1">
      <alignment vertical="center"/>
    </xf>
    <xf numFmtId="0" fontId="0" fillId="4" borderId="0" xfId="0" applyNumberFormat="1" applyFill="1" applyAlignment="1">
      <alignment horizontal="center" vertical="center"/>
    </xf>
    <xf numFmtId="0" fontId="0" fillId="4" borderId="0" xfId="0" applyFill="1" applyAlignment="1">
      <alignment horizontal="right" vertical="center"/>
    </xf>
    <xf numFmtId="0" fontId="0" fillId="4" borderId="0" xfId="0" applyFill="1" applyAlignment="1">
      <alignment horizontal="left" vertical="center"/>
    </xf>
    <xf numFmtId="0" fontId="13" fillId="0" borderId="0" xfId="0" applyFont="1" applyAlignment="1">
      <alignment horizontal="center" vertical="center"/>
    </xf>
    <xf numFmtId="0" fontId="5" fillId="0" borderId="0" xfId="0" applyFont="1" applyAlignment="1">
      <alignment horizontal="center" vertical="center"/>
    </xf>
    <xf numFmtId="0" fontId="1" fillId="0" borderId="0" xfId="0" applyFont="1" applyAlignment="1">
      <alignment horizontal="left" vertical="center"/>
    </xf>
    <xf numFmtId="0" fontId="5" fillId="8" borderId="0" xfId="0" applyFont="1" applyFill="1" applyBorder="1">
      <alignment vertical="center"/>
    </xf>
    <xf numFmtId="0" fontId="5" fillId="8" borderId="0" xfId="0" applyFont="1" applyFill="1" applyBorder="1" applyAlignment="1">
      <alignment horizontal="center" vertical="center"/>
    </xf>
    <xf numFmtId="0" fontId="5" fillId="8" borderId="0" xfId="0" applyFont="1" applyFill="1" applyBorder="1" applyAlignment="1">
      <alignment horizontal="left" vertical="top"/>
    </xf>
    <xf numFmtId="0" fontId="6" fillId="8" borderId="0" xfId="0" applyFont="1" applyFill="1" applyBorder="1">
      <alignment vertical="center"/>
    </xf>
    <xf numFmtId="0" fontId="1" fillId="4" borderId="0" xfId="0" applyFont="1" applyFill="1" applyAlignment="1">
      <alignment horizontal="right" vertical="center"/>
    </xf>
    <xf numFmtId="0" fontId="1" fillId="4" borderId="0" xfId="0" applyFont="1" applyFill="1" applyAlignment="1">
      <alignment horizontal="left" vertical="center"/>
    </xf>
    <xf numFmtId="0" fontId="1" fillId="4" borderId="0" xfId="0" applyNumberFormat="1" applyFont="1" applyFill="1" applyAlignment="1">
      <alignment horizontal="center" vertical="center"/>
    </xf>
    <xf numFmtId="0" fontId="0" fillId="4" borderId="0" xfId="0" applyFill="1" applyBorder="1">
      <alignment vertical="center"/>
    </xf>
    <xf numFmtId="0" fontId="0" fillId="4" borderId="0" xfId="0" applyFill="1" applyBorder="1" applyAlignment="1">
      <alignment horizontal="center" vertical="center"/>
    </xf>
    <xf numFmtId="0" fontId="13" fillId="4" borderId="0" xfId="0" applyFont="1" applyFill="1" applyBorder="1">
      <alignment vertical="center"/>
    </xf>
    <xf numFmtId="0" fontId="0" fillId="4" borderId="0" xfId="0" applyFill="1" applyBorder="1" applyAlignment="1">
      <alignment horizontal="right" vertical="center"/>
    </xf>
    <xf numFmtId="0" fontId="0" fillId="4" borderId="0" xfId="0" applyFill="1" applyBorder="1" applyAlignment="1">
      <alignment horizontal="left" vertical="center"/>
    </xf>
    <xf numFmtId="0" fontId="0" fillId="4" borderId="0" xfId="0" applyNumberFormat="1" applyFill="1" applyBorder="1" applyAlignment="1">
      <alignment horizontal="center" vertical="center"/>
    </xf>
    <xf numFmtId="0" fontId="1" fillId="4" borderId="0" xfId="0" applyFont="1" applyFill="1" applyBorder="1">
      <alignment vertical="center"/>
    </xf>
    <xf numFmtId="0" fontId="1" fillId="4" borderId="0" xfId="0" applyFont="1" applyFill="1" applyBorder="1" applyAlignment="1">
      <alignment horizontal="center" vertical="center"/>
    </xf>
    <xf numFmtId="0" fontId="1" fillId="4" borderId="0" xfId="0" applyFont="1" applyFill="1" applyBorder="1" applyAlignment="1">
      <alignment horizontal="right" vertical="center"/>
    </xf>
    <xf numFmtId="0" fontId="1" fillId="4" borderId="0" xfId="0" applyFont="1" applyFill="1" applyBorder="1" applyAlignment="1">
      <alignment horizontal="left" vertical="center"/>
    </xf>
    <xf numFmtId="0" fontId="1" fillId="4" borderId="0" xfId="0" applyNumberFormat="1" applyFont="1" applyFill="1" applyBorder="1" applyAlignment="1">
      <alignment horizontal="center" vertical="center"/>
    </xf>
    <xf numFmtId="0" fontId="6" fillId="0" borderId="0" xfId="0" applyFont="1" applyFill="1">
      <alignment vertical="center"/>
    </xf>
    <xf numFmtId="0" fontId="22" fillId="9" borderId="0" xfId="0" applyFont="1" applyFill="1">
      <alignment vertical="center"/>
    </xf>
    <xf numFmtId="0" fontId="22" fillId="9" borderId="0" xfId="0" applyNumberFormat="1" applyFont="1" applyFill="1" applyAlignment="1">
      <alignment horizontal="center" vertical="center"/>
    </xf>
    <xf numFmtId="0" fontId="1" fillId="10" borderId="0" xfId="0" applyFont="1" applyFill="1">
      <alignment vertical="center"/>
    </xf>
    <xf numFmtId="0" fontId="14" fillId="10" borderId="0" xfId="0" applyFont="1" applyFill="1" applyAlignment="1">
      <alignment horizontal="center" vertical="center"/>
    </xf>
    <xf numFmtId="0" fontId="13" fillId="10" borderId="0" xfId="0" applyFont="1" applyFill="1" applyAlignment="1">
      <alignment horizontal="center" vertical="center"/>
    </xf>
    <xf numFmtId="176" fontId="1" fillId="10" borderId="0" xfId="0" applyNumberFormat="1" applyFont="1" applyFill="1" applyAlignment="1">
      <alignment horizontal="right" vertical="center"/>
    </xf>
    <xf numFmtId="177" fontId="1" fillId="10" borderId="0" xfId="1" applyNumberFormat="1" applyFont="1" applyFill="1" applyAlignment="1">
      <alignment horizontal="left" vertical="center"/>
    </xf>
    <xf numFmtId="0" fontId="1" fillId="10" borderId="0" xfId="1" applyNumberFormat="1" applyFont="1" applyFill="1" applyAlignment="1">
      <alignment horizontal="center" vertical="center"/>
    </xf>
    <xf numFmtId="0" fontId="16" fillId="10" borderId="0" xfId="0" applyFont="1" applyFill="1">
      <alignment vertical="center"/>
    </xf>
    <xf numFmtId="0" fontId="16" fillId="10" borderId="0" xfId="0" applyFont="1" applyFill="1" applyAlignment="1">
      <alignment horizontal="center" vertical="center"/>
    </xf>
    <xf numFmtId="0" fontId="1" fillId="10" borderId="0" xfId="0" applyFont="1" applyFill="1" applyAlignment="1">
      <alignment horizontal="center" vertical="center"/>
    </xf>
    <xf numFmtId="0" fontId="0" fillId="10" borderId="0" xfId="0" applyFill="1">
      <alignment vertical="center"/>
    </xf>
    <xf numFmtId="9" fontId="1" fillId="10" borderId="0" xfId="0" applyNumberFormat="1" applyFont="1" applyFill="1" applyAlignment="1">
      <alignment horizontal="center" vertical="center"/>
    </xf>
    <xf numFmtId="176" fontId="1" fillId="4" borderId="0" xfId="0" applyNumberFormat="1" applyFont="1" applyFill="1" applyAlignment="1">
      <alignment horizontal="right" vertical="center"/>
    </xf>
    <xf numFmtId="177" fontId="1" fillId="4" borderId="0" xfId="1" applyNumberFormat="1" applyFont="1" applyFill="1" applyAlignment="1">
      <alignment horizontal="left" vertical="center"/>
    </xf>
    <xf numFmtId="0" fontId="1" fillId="4" borderId="0" xfId="1" applyNumberFormat="1" applyFont="1" applyFill="1" applyAlignment="1">
      <alignment horizontal="center" vertical="center"/>
    </xf>
    <xf numFmtId="0" fontId="16" fillId="4" borderId="0" xfId="0" applyFont="1" applyFill="1" applyAlignment="1">
      <alignment horizontal="center" vertical="center"/>
    </xf>
    <xf numFmtId="9" fontId="1" fillId="4" borderId="0" xfId="0" applyNumberFormat="1" applyFont="1" applyFill="1" applyAlignment="1">
      <alignment horizontal="center" vertical="center"/>
    </xf>
    <xf numFmtId="0" fontId="10" fillId="4" borderId="0" xfId="0" applyFont="1" applyFill="1">
      <alignment vertical="center"/>
    </xf>
    <xf numFmtId="0" fontId="5" fillId="0" borderId="0" xfId="0" applyFont="1" applyAlignment="1">
      <alignment horizontal="right" vertical="center"/>
    </xf>
    <xf numFmtId="0" fontId="1" fillId="10" borderId="0" xfId="0" applyFont="1" applyFill="1" applyAlignment="1">
      <alignment horizontal="left" vertical="center"/>
    </xf>
    <xf numFmtId="0" fontId="5" fillId="4" borderId="0" xfId="0" applyFont="1" applyFill="1">
      <alignment vertical="center"/>
    </xf>
    <xf numFmtId="0" fontId="5" fillId="4" borderId="0" xfId="0" applyFont="1" applyFill="1" applyBorder="1">
      <alignment vertical="center"/>
    </xf>
    <xf numFmtId="0" fontId="22" fillId="11" borderId="0" xfId="0" applyFont="1" applyFill="1">
      <alignment vertical="center"/>
    </xf>
    <xf numFmtId="0" fontId="22" fillId="11" borderId="0" xfId="0" applyNumberFormat="1" applyFont="1" applyFill="1" applyAlignment="1">
      <alignment horizontal="center" vertical="center"/>
    </xf>
    <xf numFmtId="0" fontId="23" fillId="11" borderId="0" xfId="0" applyFont="1" applyFill="1">
      <alignment vertical="center"/>
    </xf>
    <xf numFmtId="0" fontId="1" fillId="12" borderId="0" xfId="0" applyFont="1" applyFill="1">
      <alignment vertical="center"/>
    </xf>
    <xf numFmtId="0" fontId="14" fillId="12" borderId="0" xfId="0" applyFont="1" applyFill="1" applyAlignment="1">
      <alignment horizontal="center" vertical="center"/>
    </xf>
    <xf numFmtId="176" fontId="1" fillId="12" borderId="0" xfId="0" applyNumberFormat="1" applyFont="1" applyFill="1" applyAlignment="1">
      <alignment horizontal="right" vertical="center"/>
    </xf>
    <xf numFmtId="177" fontId="1" fillId="12" borderId="0" xfId="1" applyNumberFormat="1" applyFont="1" applyFill="1" applyAlignment="1">
      <alignment horizontal="left" vertical="center"/>
    </xf>
    <xf numFmtId="0" fontId="13" fillId="12" borderId="0" xfId="0" applyFont="1" applyFill="1" applyAlignment="1">
      <alignment horizontal="center" vertical="center"/>
    </xf>
    <xf numFmtId="0" fontId="1" fillId="12" borderId="0" xfId="1" applyNumberFormat="1" applyFont="1" applyFill="1" applyAlignment="1">
      <alignment horizontal="center" vertical="center"/>
    </xf>
    <xf numFmtId="0" fontId="16" fillId="12" borderId="0" xfId="0" applyFont="1" applyFill="1">
      <alignment vertical="center"/>
    </xf>
    <xf numFmtId="0" fontId="1" fillId="12" borderId="0" xfId="0" applyFont="1" applyFill="1" applyAlignment="1">
      <alignment horizontal="center" vertical="center"/>
    </xf>
    <xf numFmtId="0" fontId="5" fillId="12" borderId="0" xfId="0" applyFont="1" applyFill="1">
      <alignment vertical="center"/>
    </xf>
    <xf numFmtId="0" fontId="21" fillId="12" borderId="0" xfId="0" applyFont="1" applyFill="1" applyAlignment="1">
      <alignment horizontal="center" vertical="center"/>
    </xf>
    <xf numFmtId="0" fontId="13" fillId="4" borderId="0" xfId="0" applyFont="1" applyFill="1" applyAlignment="1">
      <alignment horizontal="center" vertical="center"/>
    </xf>
    <xf numFmtId="0" fontId="13" fillId="13" borderId="0" xfId="0" applyFont="1" applyFill="1">
      <alignment vertical="center"/>
    </xf>
    <xf numFmtId="0" fontId="13" fillId="13" borderId="0" xfId="0" applyFont="1" applyFill="1" applyAlignment="1">
      <alignment horizontal="center" vertical="center"/>
    </xf>
    <xf numFmtId="0" fontId="13" fillId="13" borderId="0" xfId="0" applyNumberFormat="1" applyFont="1" applyFill="1" applyAlignment="1">
      <alignment horizontal="center" vertical="center"/>
    </xf>
    <xf numFmtId="0" fontId="22" fillId="14" borderId="0" xfId="0" applyFont="1" applyFill="1">
      <alignment vertical="center"/>
    </xf>
    <xf numFmtId="0" fontId="22" fillId="14" borderId="0" xfId="0" applyFont="1" applyFill="1" applyAlignment="1">
      <alignment vertical="center"/>
    </xf>
    <xf numFmtId="0" fontId="13" fillId="4" borderId="0" xfId="0" applyFont="1" applyFill="1" applyAlignment="1">
      <alignment horizontal="center" vertical="center"/>
    </xf>
    <xf numFmtId="0" fontId="21" fillId="4" borderId="0" xfId="0" applyFont="1" applyFill="1" applyAlignment="1">
      <alignment horizontal="center" vertical="center"/>
    </xf>
    <xf numFmtId="0" fontId="5" fillId="4" borderId="0" xfId="0" applyFont="1" applyFill="1" applyAlignment="1">
      <alignment horizontal="center" vertical="center"/>
    </xf>
    <xf numFmtId="176" fontId="1" fillId="7" borderId="0" xfId="0" applyNumberFormat="1" applyFont="1" applyFill="1" applyAlignment="1">
      <alignment horizontal="right" vertical="center"/>
    </xf>
    <xf numFmtId="177" fontId="1" fillId="7" borderId="0" xfId="1" applyNumberFormat="1" applyFont="1" applyFill="1" applyAlignment="1">
      <alignment horizontal="left" vertical="center"/>
    </xf>
    <xf numFmtId="0" fontId="1" fillId="7" borderId="0" xfId="1" applyNumberFormat="1" applyFont="1" applyFill="1" applyAlignment="1">
      <alignment horizontal="center" vertical="center"/>
    </xf>
    <xf numFmtId="0" fontId="13" fillId="4" borderId="0" xfId="0" applyFont="1" applyFill="1" applyAlignment="1">
      <alignment horizontal="center" vertical="center"/>
    </xf>
    <xf numFmtId="0" fontId="22" fillId="15" borderId="0" xfId="0" applyFont="1" applyFill="1">
      <alignment vertical="center"/>
    </xf>
    <xf numFmtId="0" fontId="22" fillId="15" borderId="0" xfId="0" applyFont="1" applyFill="1" applyAlignment="1">
      <alignment horizontal="center" vertical="center"/>
    </xf>
    <xf numFmtId="0" fontId="22" fillId="15" borderId="0" xfId="0" applyNumberFormat="1" applyFont="1" applyFill="1" applyAlignment="1">
      <alignment horizontal="center" vertical="center"/>
    </xf>
    <xf numFmtId="0" fontId="1" fillId="16" borderId="0" xfId="0" applyFont="1" applyFill="1">
      <alignment vertical="center"/>
    </xf>
    <xf numFmtId="176" fontId="1" fillId="16" borderId="0" xfId="0" applyNumberFormat="1" applyFont="1" applyFill="1" applyAlignment="1">
      <alignment horizontal="right" vertical="center"/>
    </xf>
    <xf numFmtId="177" fontId="1" fillId="16" borderId="0" xfId="1" applyNumberFormat="1" applyFont="1" applyFill="1" applyAlignment="1">
      <alignment horizontal="left" vertical="center"/>
    </xf>
    <xf numFmtId="0" fontId="13" fillId="16" borderId="0" xfId="0" applyFont="1" applyFill="1" applyAlignment="1">
      <alignment horizontal="center" vertical="center"/>
    </xf>
    <xf numFmtId="0" fontId="1" fillId="16" borderId="0" xfId="1" applyNumberFormat="1" applyFont="1" applyFill="1" applyAlignment="1">
      <alignment horizontal="center" vertical="center"/>
    </xf>
    <xf numFmtId="0" fontId="16" fillId="16" borderId="0" xfId="0" applyFont="1" applyFill="1">
      <alignment vertical="center"/>
    </xf>
    <xf numFmtId="0" fontId="16" fillId="16" borderId="0" xfId="0" applyFont="1" applyFill="1" applyAlignment="1">
      <alignment horizontal="center" vertical="center"/>
    </xf>
    <xf numFmtId="0" fontId="1" fillId="16" borderId="0" xfId="0" applyFont="1" applyFill="1" applyAlignment="1">
      <alignment horizontal="center" vertical="center"/>
    </xf>
    <xf numFmtId="0" fontId="1" fillId="16" borderId="0" xfId="0" applyFont="1" applyFill="1" applyAlignment="1">
      <alignment horizontal="left" vertical="center"/>
    </xf>
    <xf numFmtId="0" fontId="0" fillId="16" borderId="0" xfId="0" applyFill="1">
      <alignment vertical="center"/>
    </xf>
    <xf numFmtId="0" fontId="24" fillId="16" borderId="0" xfId="0" applyFont="1" applyFill="1">
      <alignment vertical="center"/>
    </xf>
    <xf numFmtId="0" fontId="1" fillId="0" borderId="0" xfId="0" applyFont="1" applyAlignment="1">
      <alignment horizontal="center" vertical="center"/>
    </xf>
    <xf numFmtId="0" fontId="13" fillId="4" borderId="0" xfId="0" applyFont="1" applyFill="1" applyAlignment="1">
      <alignment horizontal="center" vertical="center"/>
    </xf>
    <xf numFmtId="0" fontId="5" fillId="17" borderId="0" xfId="0" applyFont="1" applyFill="1" applyBorder="1">
      <alignment vertical="center"/>
    </xf>
    <xf numFmtId="0" fontId="5" fillId="17" borderId="0" xfId="0" applyFont="1" applyFill="1" applyBorder="1" applyAlignment="1">
      <alignment horizontal="left" vertical="top"/>
    </xf>
    <xf numFmtId="0" fontId="5" fillId="18" borderId="0" xfId="0" applyFont="1" applyFill="1" applyBorder="1" applyAlignment="1">
      <alignment horizontal="left" vertical="top"/>
    </xf>
    <xf numFmtId="0" fontId="5" fillId="19" borderId="0" xfId="0" applyFont="1" applyFill="1" applyBorder="1" applyAlignment="1">
      <alignment horizontal="left" vertical="top"/>
    </xf>
    <xf numFmtId="0" fontId="22" fillId="20" borderId="0" xfId="0" applyFont="1" applyFill="1">
      <alignment vertical="center"/>
    </xf>
    <xf numFmtId="0" fontId="22" fillId="20" borderId="0" xfId="0" applyFont="1" applyFill="1" applyAlignment="1">
      <alignment horizontal="center" vertical="center"/>
    </xf>
    <xf numFmtId="0" fontId="22" fillId="20" borderId="0" xfId="0" applyNumberFormat="1" applyFont="1" applyFill="1" applyAlignment="1">
      <alignment horizontal="center" vertical="center"/>
    </xf>
    <xf numFmtId="0" fontId="1" fillId="21" borderId="0" xfId="0" applyFont="1" applyFill="1">
      <alignment vertical="center"/>
    </xf>
    <xf numFmtId="0" fontId="14" fillId="21" borderId="0" xfId="0" applyFont="1" applyFill="1" applyAlignment="1">
      <alignment horizontal="center" vertical="center"/>
    </xf>
    <xf numFmtId="0" fontId="13" fillId="21" borderId="0" xfId="0" applyFont="1" applyFill="1" applyAlignment="1">
      <alignment horizontal="center" vertical="center"/>
    </xf>
    <xf numFmtId="176" fontId="1" fillId="21" borderId="0" xfId="0" applyNumberFormat="1" applyFont="1" applyFill="1" applyAlignment="1">
      <alignment horizontal="right" vertical="center"/>
    </xf>
    <xf numFmtId="177" fontId="1" fillId="21" borderId="0" xfId="1" applyNumberFormat="1" applyFont="1" applyFill="1" applyAlignment="1">
      <alignment horizontal="left" vertical="center"/>
    </xf>
    <xf numFmtId="0" fontId="1" fillId="21" borderId="0" xfId="1" applyNumberFormat="1" applyFont="1" applyFill="1" applyAlignment="1">
      <alignment horizontal="center" vertical="center"/>
    </xf>
    <xf numFmtId="0" fontId="16" fillId="21" borderId="0" xfId="0" applyFont="1" applyFill="1">
      <alignment vertical="center"/>
    </xf>
    <xf numFmtId="0" fontId="1" fillId="21" borderId="0" xfId="0" applyFont="1" applyFill="1" applyAlignment="1">
      <alignment horizontal="center" vertical="center"/>
    </xf>
    <xf numFmtId="0" fontId="16" fillId="21" borderId="0" xfId="0" applyFont="1" applyFill="1" applyAlignment="1">
      <alignment horizontal="center" vertical="center"/>
    </xf>
    <xf numFmtId="176" fontId="1" fillId="21" borderId="0" xfId="0" applyNumberFormat="1" applyFont="1" applyFill="1" applyAlignment="1">
      <alignment horizontal="center" vertical="center"/>
    </xf>
    <xf numFmtId="0" fontId="21" fillId="21" borderId="0" xfId="0" applyFont="1" applyFill="1" applyAlignment="1">
      <alignment horizontal="center" vertical="center"/>
    </xf>
    <xf numFmtId="0" fontId="6" fillId="0" borderId="0" xfId="0" applyFont="1" applyBorder="1" applyAlignment="1">
      <alignment horizontal="left" vertical="center"/>
    </xf>
    <xf numFmtId="0" fontId="5" fillId="0" borderId="0" xfId="0" applyFont="1" applyAlignment="1">
      <alignment horizontal="left" vertical="center"/>
    </xf>
    <xf numFmtId="0" fontId="5" fillId="0" borderId="0" xfId="0" applyFont="1" applyFill="1" applyAlignment="1">
      <alignment horizontal="left" vertical="center"/>
    </xf>
    <xf numFmtId="0" fontId="5" fillId="6" borderId="0" xfId="0" applyFont="1" applyFill="1" applyAlignment="1">
      <alignment horizontal="left" vertical="center"/>
    </xf>
    <xf numFmtId="0" fontId="6" fillId="0" borderId="0" xfId="0" applyFont="1" applyFill="1" applyAlignment="1">
      <alignment horizontal="left" vertical="center"/>
    </xf>
    <xf numFmtId="0" fontId="22" fillId="22" borderId="0" xfId="0" applyFont="1" applyFill="1">
      <alignment vertical="center"/>
    </xf>
    <xf numFmtId="0" fontId="22" fillId="22" borderId="0" xfId="0" applyFont="1" applyFill="1" applyAlignment="1">
      <alignment horizontal="center" vertical="center"/>
    </xf>
    <xf numFmtId="0" fontId="22" fillId="22" borderId="0" xfId="0" applyNumberFormat="1" applyFont="1" applyFill="1" applyAlignment="1">
      <alignment horizontal="center" vertical="center"/>
    </xf>
    <xf numFmtId="0" fontId="26" fillId="22" borderId="0" xfId="0" applyFont="1" applyFill="1">
      <alignment vertical="center"/>
    </xf>
    <xf numFmtId="0" fontId="1" fillId="23" borderId="0" xfId="0" applyFont="1" applyFill="1">
      <alignment vertical="center"/>
    </xf>
    <xf numFmtId="0" fontId="1" fillId="23" borderId="0" xfId="0" applyFont="1" applyFill="1" applyAlignment="1">
      <alignment horizontal="center" vertical="center"/>
    </xf>
    <xf numFmtId="176" fontId="1" fillId="23" borderId="0" xfId="0" applyNumberFormat="1" applyFont="1" applyFill="1" applyAlignment="1">
      <alignment horizontal="right" vertical="center"/>
    </xf>
    <xf numFmtId="177" fontId="1" fillId="23" borderId="0" xfId="1" applyNumberFormat="1" applyFont="1" applyFill="1" applyAlignment="1">
      <alignment horizontal="left" vertical="center"/>
    </xf>
    <xf numFmtId="0" fontId="13" fillId="23" borderId="0" xfId="0" applyFont="1" applyFill="1" applyAlignment="1">
      <alignment horizontal="center" vertical="center"/>
    </xf>
    <xf numFmtId="0" fontId="1" fillId="23" borderId="0" xfId="1" applyNumberFormat="1" applyFont="1" applyFill="1" applyAlignment="1">
      <alignment horizontal="center" vertical="center"/>
    </xf>
    <xf numFmtId="0" fontId="16" fillId="23" borderId="0" xfId="0" applyFont="1" applyFill="1">
      <alignment vertical="center"/>
    </xf>
    <xf numFmtId="0" fontId="14" fillId="23" borderId="0" xfId="0" applyFont="1" applyFill="1" applyAlignment="1">
      <alignment horizontal="center" vertical="center"/>
    </xf>
    <xf numFmtId="0" fontId="13" fillId="4" borderId="0" xfId="0" applyFont="1" applyFill="1" applyAlignment="1">
      <alignment horizontal="center" vertical="center"/>
    </xf>
    <xf numFmtId="0" fontId="1" fillId="0" borderId="0" xfId="0" applyFont="1" applyAlignment="1">
      <alignment horizontal="center" vertical="center"/>
    </xf>
    <xf numFmtId="0" fontId="13" fillId="4" borderId="0" xfId="0" applyFont="1" applyFill="1" applyAlignment="1">
      <alignment horizontal="center" vertical="center"/>
    </xf>
    <xf numFmtId="0" fontId="13" fillId="4" borderId="0" xfId="0" applyFont="1" applyFill="1" applyAlignment="1">
      <alignment horizontal="left" vertical="center"/>
    </xf>
    <xf numFmtId="0" fontId="1" fillId="4" borderId="0" xfId="0" applyFont="1" applyFill="1" applyAlignment="1">
      <alignment horizontal="center" vertical="center"/>
    </xf>
    <xf numFmtId="0" fontId="22" fillId="24" borderId="0" xfId="0" applyFont="1" applyFill="1">
      <alignment vertical="center"/>
    </xf>
    <xf numFmtId="0" fontId="22" fillId="24" borderId="0" xfId="0" applyFont="1" applyFill="1" applyAlignment="1">
      <alignment horizontal="left" vertical="center"/>
    </xf>
    <xf numFmtId="0" fontId="22" fillId="24" borderId="0" xfId="0" applyFont="1" applyFill="1" applyAlignment="1">
      <alignment horizontal="center" vertical="center"/>
    </xf>
    <xf numFmtId="0" fontId="22" fillId="24" borderId="0" xfId="0" applyNumberFormat="1" applyFont="1" applyFill="1" applyAlignment="1">
      <alignment horizontal="center" vertical="center"/>
    </xf>
    <xf numFmtId="0" fontId="1" fillId="25" borderId="0" xfId="0" applyFont="1" applyFill="1">
      <alignment vertical="center"/>
    </xf>
    <xf numFmtId="0" fontId="13" fillId="25" borderId="0" xfId="0" applyFont="1" applyFill="1" applyAlignment="1">
      <alignment horizontal="center" vertical="center"/>
    </xf>
    <xf numFmtId="176" fontId="1" fillId="25" borderId="0" xfId="0" applyNumberFormat="1" applyFont="1" applyFill="1" applyAlignment="1">
      <alignment horizontal="center" vertical="center"/>
    </xf>
    <xf numFmtId="0" fontId="1" fillId="25" borderId="0" xfId="1" applyNumberFormat="1" applyFont="1" applyFill="1" applyAlignment="1">
      <alignment horizontal="center" vertical="center"/>
    </xf>
    <xf numFmtId="0" fontId="16" fillId="25" borderId="0" xfId="0" applyFont="1" applyFill="1">
      <alignment vertical="center"/>
    </xf>
    <xf numFmtId="0" fontId="1" fillId="25" borderId="0" xfId="0" applyFont="1" applyFill="1" applyAlignment="1">
      <alignment horizontal="center" vertical="center"/>
    </xf>
    <xf numFmtId="0" fontId="16" fillId="25" borderId="0" xfId="0" applyFont="1" applyFill="1" applyAlignment="1">
      <alignment horizontal="center" vertical="center"/>
    </xf>
    <xf numFmtId="0" fontId="1" fillId="25" borderId="0" xfId="0" applyFont="1" applyFill="1" applyAlignment="1">
      <alignment horizontal="left" vertical="center"/>
    </xf>
    <xf numFmtId="0" fontId="14" fillId="25" borderId="0" xfId="0" applyFont="1" applyFill="1" applyAlignment="1">
      <alignment horizontal="center" vertical="center"/>
    </xf>
    <xf numFmtId="176" fontId="1" fillId="25" borderId="0" xfId="0" applyNumberFormat="1" applyFont="1" applyFill="1" applyAlignment="1">
      <alignment horizontal="right" vertical="center"/>
    </xf>
    <xf numFmtId="177" fontId="1" fillId="25" borderId="0" xfId="1" applyNumberFormat="1" applyFont="1" applyFill="1" applyAlignment="1">
      <alignment horizontal="left" vertical="center"/>
    </xf>
    <xf numFmtId="0" fontId="21" fillId="25" borderId="0" xfId="0" applyFont="1" applyFill="1" applyAlignment="1">
      <alignment horizontal="center" vertical="center"/>
    </xf>
    <xf numFmtId="0" fontId="1" fillId="8" borderId="0" xfId="0" applyFont="1" applyFill="1" applyBorder="1">
      <alignment vertical="center"/>
    </xf>
    <xf numFmtId="1" fontId="5" fillId="5" borderId="0" xfId="0" applyNumberFormat="1" applyFont="1" applyFill="1" applyBorder="1" applyAlignment="1">
      <alignment horizontal="center" vertical="center"/>
    </xf>
    <xf numFmtId="1" fontId="5" fillId="2" borderId="0" xfId="0" applyNumberFormat="1" applyFont="1" applyFill="1" applyBorder="1" applyAlignment="1">
      <alignment horizontal="center" vertical="center"/>
    </xf>
    <xf numFmtId="0" fontId="30" fillId="3" borderId="0" xfId="0" applyFont="1" applyFill="1" applyBorder="1">
      <alignment vertical="center"/>
    </xf>
    <xf numFmtId="0" fontId="5" fillId="8" borderId="0" xfId="0" applyFont="1" applyFill="1" applyBorder="1" applyAlignment="1">
      <alignment horizontal="left" vertical="center"/>
    </xf>
    <xf numFmtId="0" fontId="5" fillId="0" borderId="0" xfId="0" applyFont="1" applyFill="1" applyAlignment="1">
      <alignment horizontal="left" vertical="center"/>
    </xf>
    <xf numFmtId="0" fontId="1" fillId="4" borderId="0" xfId="0" applyFont="1" applyFill="1" applyAlignment="1">
      <alignment horizontal="center" vertical="center"/>
    </xf>
    <xf numFmtId="0" fontId="22" fillId="9" borderId="0" xfId="0" applyFont="1" applyFill="1" applyAlignment="1">
      <alignment horizontal="center" vertical="center"/>
    </xf>
    <xf numFmtId="0" fontId="13" fillId="4" borderId="0" xfId="0" applyFont="1" applyFill="1" applyAlignment="1">
      <alignment horizontal="center" vertical="center"/>
    </xf>
    <xf numFmtId="0" fontId="5" fillId="8" borderId="0" xfId="0" applyFont="1" applyFill="1">
      <alignment vertical="center"/>
    </xf>
    <xf numFmtId="0" fontId="6" fillId="8" borderId="0" xfId="0" applyFont="1" applyFill="1" applyAlignment="1">
      <alignment horizontal="left" vertical="center"/>
    </xf>
    <xf numFmtId="0" fontId="5" fillId="8" borderId="0" xfId="0" applyFont="1" applyFill="1" applyAlignment="1">
      <alignment horizontal="center" vertical="center"/>
    </xf>
    <xf numFmtId="0" fontId="25" fillId="8" borderId="0" xfId="0" applyFont="1" applyFill="1" applyAlignment="1">
      <alignment horizontal="left" vertical="center"/>
    </xf>
    <xf numFmtId="0" fontId="6" fillId="8" borderId="0" xfId="0" applyFont="1" applyFill="1">
      <alignment vertical="center"/>
    </xf>
    <xf numFmtId="0" fontId="6" fillId="8" borderId="0" xfId="0" applyFont="1" applyFill="1" applyAlignment="1">
      <alignment horizontal="right" vertical="center"/>
    </xf>
    <xf numFmtId="0" fontId="5" fillId="0" borderId="1" xfId="0" applyFont="1" applyBorder="1">
      <alignment vertical="center"/>
    </xf>
    <xf numFmtId="0" fontId="20" fillId="8" borderId="0" xfId="0" applyFont="1" applyFill="1" applyAlignment="1">
      <alignment horizontal="left" vertical="center"/>
    </xf>
    <xf numFmtId="0" fontId="6" fillId="8" borderId="0" xfId="0" applyFont="1" applyFill="1" applyBorder="1" applyAlignment="1">
      <alignment horizontal="left" vertical="center"/>
    </xf>
    <xf numFmtId="0" fontId="5" fillId="0" borderId="0" xfId="0" applyNumberFormat="1" applyFont="1" applyFill="1">
      <alignment vertical="center"/>
    </xf>
    <xf numFmtId="0" fontId="24" fillId="16" borderId="0" xfId="0" applyFont="1" applyFill="1" applyAlignment="1">
      <alignment horizontal="center" vertical="center"/>
    </xf>
    <xf numFmtId="0" fontId="24" fillId="4" borderId="0" xfId="0" applyFont="1" applyFill="1" applyAlignment="1">
      <alignment horizontal="center" vertical="center"/>
    </xf>
    <xf numFmtId="0" fontId="5" fillId="0" borderId="0" xfId="0" applyFont="1" applyBorder="1" applyAlignment="1">
      <alignment horizontal="left" vertical="center"/>
    </xf>
    <xf numFmtId="0" fontId="5" fillId="0" borderId="0" xfId="0" applyFont="1" applyBorder="1">
      <alignment vertical="center"/>
    </xf>
    <xf numFmtId="0" fontId="5" fillId="0" borderId="0" xfId="0" applyFont="1" applyFill="1" applyBorder="1">
      <alignment vertical="center"/>
    </xf>
    <xf numFmtId="0" fontId="13" fillId="8" borderId="0" xfId="0" applyFont="1" applyFill="1" applyAlignment="1">
      <alignment horizontal="left" vertical="center"/>
    </xf>
    <xf numFmtId="0" fontId="13" fillId="8" borderId="0" xfId="0" applyFont="1" applyFill="1" applyBorder="1" applyAlignment="1">
      <alignment horizontal="left" vertical="center"/>
    </xf>
    <xf numFmtId="0" fontId="13" fillId="8" borderId="0" xfId="0" applyFont="1" applyFill="1" applyBorder="1">
      <alignment vertical="center"/>
    </xf>
    <xf numFmtId="0" fontId="1" fillId="8" borderId="0" xfId="0" applyFont="1" applyFill="1" applyBorder="1" applyAlignment="1">
      <alignment horizontal="left" vertical="center"/>
    </xf>
    <xf numFmtId="0" fontId="31" fillId="8" borderId="0" xfId="0" applyFont="1" applyFill="1" applyBorder="1" applyAlignment="1">
      <alignment horizontal="left" vertical="center"/>
    </xf>
    <xf numFmtId="178" fontId="13" fillId="4" borderId="0" xfId="0" applyNumberFormat="1" applyFont="1" applyFill="1" applyAlignment="1">
      <alignment horizontal="center" vertical="center"/>
    </xf>
    <xf numFmtId="178" fontId="13" fillId="25" borderId="0" xfId="0" applyNumberFormat="1" applyFont="1" applyFill="1" applyAlignment="1">
      <alignment horizontal="center" vertical="center"/>
    </xf>
    <xf numFmtId="178" fontId="19" fillId="4" borderId="0" xfId="0" applyNumberFormat="1" applyFont="1" applyFill="1" applyAlignment="1">
      <alignment horizontal="center" vertical="center"/>
    </xf>
    <xf numFmtId="178" fontId="19" fillId="12" borderId="0" xfId="0" applyNumberFormat="1" applyFont="1" applyFill="1" applyAlignment="1">
      <alignment horizontal="center" vertical="center"/>
    </xf>
    <xf numFmtId="178" fontId="13" fillId="21" borderId="0" xfId="0" applyNumberFormat="1" applyFont="1" applyFill="1" applyAlignment="1">
      <alignment horizontal="center" vertical="center"/>
    </xf>
    <xf numFmtId="178" fontId="19" fillId="7" borderId="0" xfId="0" applyNumberFormat="1" applyFont="1" applyFill="1" applyAlignment="1">
      <alignment horizontal="center" vertical="center"/>
    </xf>
    <xf numFmtId="178" fontId="19" fillId="10" borderId="0" xfId="0" applyNumberFormat="1" applyFont="1" applyFill="1" applyAlignment="1">
      <alignment horizontal="center" vertical="center"/>
    </xf>
    <xf numFmtId="178" fontId="19" fillId="23" borderId="0" xfId="0" applyNumberFormat="1" applyFont="1" applyFill="1" applyAlignment="1">
      <alignment horizontal="center" vertical="center"/>
    </xf>
    <xf numFmtId="178" fontId="19" fillId="16" borderId="0" xfId="0" applyNumberFormat="1" applyFont="1" applyFill="1" applyAlignment="1">
      <alignment horizontal="center" vertical="center"/>
    </xf>
    <xf numFmtId="0" fontId="1" fillId="4" borderId="0" xfId="0" applyFont="1" applyFill="1" applyAlignment="1">
      <alignment horizontal="center" vertical="center"/>
    </xf>
    <xf numFmtId="0" fontId="13" fillId="4" borderId="0" xfId="0" applyFont="1" applyFill="1" applyAlignment="1">
      <alignment horizontal="center" vertical="center"/>
    </xf>
    <xf numFmtId="0" fontId="32" fillId="8" borderId="0" xfId="0" applyFont="1" applyFill="1" applyBorder="1" applyAlignment="1">
      <alignment horizontal="left" vertical="center"/>
    </xf>
    <xf numFmtId="0" fontId="33" fillId="8" borderId="0" xfId="0" applyNumberFormat="1" applyFont="1" applyFill="1" applyBorder="1">
      <alignment vertical="center"/>
    </xf>
    <xf numFmtId="0" fontId="33" fillId="8" borderId="0" xfId="0" applyNumberFormat="1" applyFont="1" applyFill="1" applyBorder="1" applyAlignment="1">
      <alignment horizontal="left" vertical="center"/>
    </xf>
    <xf numFmtId="0" fontId="3" fillId="8" borderId="0" xfId="0" applyFont="1" applyFill="1" applyBorder="1" applyAlignment="1">
      <alignment horizontal="left" vertical="center"/>
    </xf>
    <xf numFmtId="0" fontId="3" fillId="8" borderId="0" xfId="0" applyFont="1" applyFill="1" applyBorder="1">
      <alignment vertical="center"/>
    </xf>
    <xf numFmtId="0" fontId="13" fillId="4" borderId="0" xfId="0" applyFont="1" applyFill="1" applyAlignment="1">
      <alignment horizontal="center" vertical="center"/>
    </xf>
    <xf numFmtId="0" fontId="1" fillId="4" borderId="0" xfId="0" applyFont="1" applyFill="1" applyAlignment="1">
      <alignment horizontal="center" vertical="center"/>
    </xf>
    <xf numFmtId="0" fontId="22" fillId="11" borderId="0" xfId="0" applyFont="1" applyFill="1" applyAlignment="1">
      <alignment horizontal="center" vertical="center"/>
    </xf>
    <xf numFmtId="0" fontId="13" fillId="4" borderId="0" xfId="0" applyFont="1" applyFill="1" applyAlignment="1">
      <alignment horizontal="center" vertical="center"/>
    </xf>
    <xf numFmtId="0" fontId="13" fillId="2" borderId="0" xfId="0" applyFont="1" applyFill="1" applyBorder="1">
      <alignment vertical="center"/>
    </xf>
    <xf numFmtId="0" fontId="3" fillId="2" borderId="0" xfId="0" applyFont="1" applyFill="1" applyBorder="1">
      <alignment vertical="center"/>
    </xf>
    <xf numFmtId="0" fontId="28" fillId="2" borderId="0" xfId="0" applyFont="1" applyFill="1" applyBorder="1">
      <alignment vertical="center"/>
    </xf>
    <xf numFmtId="0" fontId="1" fillId="8" borderId="0" xfId="0" applyFont="1" applyFill="1">
      <alignment vertical="center"/>
    </xf>
    <xf numFmtId="0" fontId="1" fillId="8" borderId="0" xfId="0" applyFont="1" applyFill="1" applyBorder="1" applyAlignment="1">
      <alignment horizontal="center" vertical="center"/>
    </xf>
    <xf numFmtId="0" fontId="1" fillId="8" borderId="0" xfId="0" applyFont="1" applyFill="1" applyAlignment="1">
      <alignment horizontal="center" vertical="center"/>
    </xf>
    <xf numFmtId="179" fontId="13" fillId="8" borderId="0" xfId="0" applyNumberFormat="1" applyFont="1" applyFill="1" applyBorder="1" applyAlignment="1">
      <alignment horizontal="left" vertical="center"/>
    </xf>
    <xf numFmtId="0" fontId="1" fillId="4" borderId="0" xfId="0" applyFont="1" applyFill="1" applyAlignment="1">
      <alignment horizontal="center" vertical="center"/>
    </xf>
    <xf numFmtId="0" fontId="1" fillId="26" borderId="0" xfId="0" applyNumberFormat="1" applyFont="1" applyFill="1" applyAlignment="1">
      <alignment horizontal="left" vertical="center"/>
    </xf>
    <xf numFmtId="178" fontId="19" fillId="26" borderId="0" xfId="0" applyNumberFormat="1" applyFont="1" applyFill="1" applyAlignment="1">
      <alignment horizontal="left" vertical="center"/>
    </xf>
    <xf numFmtId="0" fontId="5" fillId="26" borderId="0" xfId="0" applyFont="1" applyFill="1" applyBorder="1">
      <alignment vertical="center"/>
    </xf>
    <xf numFmtId="0" fontId="13" fillId="12" borderId="0" xfId="0" applyFont="1" applyFill="1">
      <alignment vertical="center"/>
    </xf>
    <xf numFmtId="0" fontId="1" fillId="4" borderId="0" xfId="0" applyFont="1" applyFill="1" applyAlignment="1">
      <alignment horizontal="center" vertical="center"/>
    </xf>
    <xf numFmtId="0" fontId="22" fillId="14" borderId="0" xfId="0" applyFont="1" applyFill="1" applyAlignment="1">
      <alignment horizontal="center" vertical="center"/>
    </xf>
    <xf numFmtId="0" fontId="13" fillId="4" borderId="0" xfId="0" applyFont="1" applyFill="1" applyAlignment="1">
      <alignment horizontal="center" vertical="center"/>
    </xf>
    <xf numFmtId="0" fontId="1" fillId="4" borderId="0" xfId="0" applyFont="1" applyFill="1" applyAlignment="1">
      <alignment horizontal="center" vertical="center"/>
    </xf>
    <xf numFmtId="0" fontId="13" fillId="4" borderId="0" xfId="0" applyFont="1" applyFill="1" applyAlignment="1">
      <alignment horizontal="center" vertical="center"/>
    </xf>
    <xf numFmtId="0" fontId="29" fillId="0" borderId="0" xfId="2">
      <alignment vertical="center"/>
    </xf>
    <xf numFmtId="0" fontId="5" fillId="7" borderId="0" xfId="0" applyFont="1" applyFill="1">
      <alignment vertical="center"/>
    </xf>
    <xf numFmtId="0" fontId="5" fillId="4" borderId="0" xfId="0" applyFont="1" applyFill="1" applyAlignment="1">
      <alignment vertical="center"/>
    </xf>
    <xf numFmtId="0" fontId="34" fillId="4" borderId="0" xfId="2" applyFont="1" applyFill="1">
      <alignment vertical="center"/>
    </xf>
    <xf numFmtId="0" fontId="35" fillId="4" borderId="0" xfId="2" applyFont="1" applyFill="1">
      <alignment vertical="center"/>
    </xf>
    <xf numFmtId="0" fontId="35" fillId="0" borderId="0" xfId="2" applyFont="1">
      <alignment vertical="center"/>
    </xf>
    <xf numFmtId="0" fontId="35" fillId="4" borderId="0" xfId="2" applyFont="1" applyFill="1" applyBorder="1">
      <alignment vertical="center"/>
    </xf>
    <xf numFmtId="0" fontId="13" fillId="0" borderId="0" xfId="0" applyFont="1" applyFill="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center" vertical="center"/>
    </xf>
    <xf numFmtId="0" fontId="13" fillId="4" borderId="0" xfId="0" applyFont="1" applyFill="1" applyAlignment="1">
      <alignment horizontal="center" vertical="center"/>
    </xf>
    <xf numFmtId="0" fontId="22" fillId="27" borderId="0" xfId="0" applyFont="1" applyFill="1">
      <alignment vertical="center"/>
    </xf>
    <xf numFmtId="0" fontId="22" fillId="27" borderId="0" xfId="0" applyFont="1" applyFill="1" applyAlignment="1">
      <alignment horizontal="center" vertical="center"/>
    </xf>
    <xf numFmtId="0" fontId="22" fillId="27" borderId="0" xfId="0" applyNumberFormat="1" applyFont="1" applyFill="1" applyAlignment="1">
      <alignment horizontal="center" vertical="center"/>
    </xf>
    <xf numFmtId="0" fontId="14" fillId="16" borderId="0" xfId="0" applyFont="1" applyFill="1" applyAlignment="1">
      <alignment horizontal="center" vertical="center"/>
    </xf>
    <xf numFmtId="176" fontId="1" fillId="16" borderId="0" xfId="0" applyNumberFormat="1" applyFont="1" applyFill="1" applyAlignment="1">
      <alignment horizontal="center" vertical="center"/>
    </xf>
    <xf numFmtId="0" fontId="22" fillId="28" borderId="0" xfId="0" applyFont="1" applyFill="1">
      <alignment vertical="center"/>
    </xf>
    <xf numFmtId="0" fontId="22" fillId="28" borderId="0" xfId="0" applyFont="1" applyFill="1" applyAlignment="1">
      <alignment horizontal="center" vertical="center"/>
    </xf>
    <xf numFmtId="0" fontId="22" fillId="28" borderId="0" xfId="0" applyNumberFormat="1" applyFont="1" applyFill="1" applyAlignment="1">
      <alignment horizontal="center" vertical="center"/>
    </xf>
    <xf numFmtId="0" fontId="29" fillId="4" borderId="0" xfId="2" applyFill="1">
      <alignment vertical="center"/>
    </xf>
    <xf numFmtId="0" fontId="1" fillId="6" borderId="0" xfId="0" applyFont="1" applyFill="1">
      <alignment vertical="center"/>
    </xf>
    <xf numFmtId="0" fontId="14" fillId="6" borderId="0" xfId="0" applyFont="1" applyFill="1" applyAlignment="1">
      <alignment horizontal="center" vertical="center"/>
    </xf>
    <xf numFmtId="0" fontId="24" fillId="6" borderId="0" xfId="0" applyFont="1" applyFill="1" applyAlignment="1">
      <alignment horizontal="center" vertical="center"/>
    </xf>
    <xf numFmtId="178" fontId="19" fillId="6" borderId="0" xfId="0" applyNumberFormat="1" applyFont="1" applyFill="1" applyAlignment="1">
      <alignment horizontal="center" vertical="center"/>
    </xf>
    <xf numFmtId="176" fontId="1" fillId="6" borderId="0" xfId="0" applyNumberFormat="1" applyFont="1" applyFill="1" applyAlignment="1">
      <alignment horizontal="right" vertical="center"/>
    </xf>
    <xf numFmtId="177" fontId="1" fillId="6" borderId="0" xfId="1" applyNumberFormat="1" applyFont="1" applyFill="1" applyAlignment="1">
      <alignment horizontal="left" vertical="center"/>
    </xf>
    <xf numFmtId="0" fontId="13" fillId="6" borderId="0" xfId="0" applyFont="1" applyFill="1" applyAlignment="1">
      <alignment horizontal="center" vertical="center"/>
    </xf>
    <xf numFmtId="0" fontId="1" fillId="6" borderId="0" xfId="1" applyNumberFormat="1" applyFont="1" applyFill="1" applyAlignment="1">
      <alignment horizontal="center" vertical="center"/>
    </xf>
    <xf numFmtId="0" fontId="1" fillId="6" borderId="0" xfId="0" applyFont="1" applyFill="1" applyAlignment="1">
      <alignment horizontal="center" vertical="center"/>
    </xf>
    <xf numFmtId="0" fontId="0" fillId="6" borderId="0" xfId="0" applyFill="1">
      <alignment vertical="center"/>
    </xf>
    <xf numFmtId="0" fontId="1" fillId="6" borderId="0" xfId="0" applyFont="1" applyFill="1" applyBorder="1">
      <alignment vertical="center"/>
    </xf>
    <xf numFmtId="0" fontId="0" fillId="6" borderId="0" xfId="0" applyFill="1" applyBorder="1">
      <alignment vertical="center"/>
    </xf>
    <xf numFmtId="0" fontId="13" fillId="2" borderId="0" xfId="0" applyFont="1" applyFill="1">
      <alignment vertical="center"/>
    </xf>
    <xf numFmtId="0" fontId="5" fillId="2" borderId="0" xfId="0" applyFont="1" applyFill="1">
      <alignment vertical="center"/>
    </xf>
    <xf numFmtId="0" fontId="5" fillId="2" borderId="0" xfId="0" applyFont="1" applyFill="1" applyAlignment="1">
      <alignment horizontal="center" vertical="center"/>
    </xf>
    <xf numFmtId="0" fontId="3" fillId="2" borderId="0" xfId="0" applyFont="1" applyFill="1">
      <alignment vertical="center"/>
    </xf>
    <xf numFmtId="180" fontId="5" fillId="0" borderId="0" xfId="0" applyNumberFormat="1" applyFont="1">
      <alignment vertical="center"/>
    </xf>
    <xf numFmtId="0" fontId="5" fillId="2" borderId="0" xfId="0" applyFont="1" applyFill="1" applyBorder="1" applyAlignment="1">
      <alignment horizontal="center" vertical="center"/>
    </xf>
    <xf numFmtId="0" fontId="37" fillId="2" borderId="0" xfId="0" applyFont="1" applyFill="1" applyBorder="1">
      <alignment vertical="center"/>
    </xf>
    <xf numFmtId="0" fontId="28" fillId="2" borderId="0" xfId="0" applyFont="1" applyFill="1" applyBorder="1" applyAlignment="1">
      <alignment horizontal="left" vertical="center"/>
    </xf>
    <xf numFmtId="0" fontId="29" fillId="2" borderId="0" xfId="2" applyFill="1" applyBorder="1" applyAlignment="1">
      <alignment horizontal="center" vertical="center"/>
    </xf>
    <xf numFmtId="0" fontId="29" fillId="0" borderId="0" xfId="2" applyAlignment="1">
      <alignment horizontal="left" vertical="center"/>
    </xf>
    <xf numFmtId="0" fontId="13" fillId="0" borderId="0" xfId="0" applyFont="1" applyFill="1" applyAlignment="1">
      <alignment horizontal="center" vertical="center"/>
    </xf>
    <xf numFmtId="0" fontId="1" fillId="0" borderId="0" xfId="0" applyFont="1" applyAlignment="1">
      <alignment horizontal="center" vertical="center"/>
    </xf>
    <xf numFmtId="0" fontId="5" fillId="0" borderId="0" xfId="0" applyFont="1" applyFill="1" applyAlignment="1">
      <alignment horizontal="left" vertical="center"/>
    </xf>
    <xf numFmtId="0" fontId="22" fillId="20" borderId="0" xfId="0" applyFont="1" applyFill="1" applyAlignment="1">
      <alignment horizontal="center" vertical="center"/>
    </xf>
    <xf numFmtId="0" fontId="22" fillId="24" borderId="0" xfId="0" applyFont="1" applyFill="1" applyAlignment="1">
      <alignment horizontal="center" vertical="center"/>
    </xf>
    <xf numFmtId="0" fontId="1" fillId="25" borderId="0" xfId="0" applyFont="1" applyFill="1" applyAlignment="1">
      <alignment horizontal="left" vertical="center"/>
    </xf>
    <xf numFmtId="0" fontId="1" fillId="4" borderId="0" xfId="0" applyFont="1" applyFill="1" applyAlignment="1">
      <alignment horizontal="center" vertical="center"/>
    </xf>
    <xf numFmtId="0" fontId="22" fillId="11" borderId="0" xfId="0" applyFont="1" applyFill="1" applyAlignment="1">
      <alignment horizontal="center" vertical="center"/>
    </xf>
    <xf numFmtId="0" fontId="22" fillId="14" borderId="0" xfId="0" applyFont="1" applyFill="1" applyAlignment="1">
      <alignment horizontal="center" vertical="center"/>
    </xf>
    <xf numFmtId="0" fontId="13" fillId="4" borderId="0" xfId="0" applyFont="1" applyFill="1" applyAlignment="1">
      <alignment horizontal="center" vertical="center"/>
    </xf>
    <xf numFmtId="0" fontId="13" fillId="13" borderId="0" xfId="0" applyFont="1" applyFill="1" applyAlignment="1">
      <alignment horizontal="center" vertical="center"/>
    </xf>
    <xf numFmtId="0" fontId="22" fillId="9" borderId="0" xfId="0" applyFont="1" applyFill="1" applyAlignment="1">
      <alignment horizontal="center" vertical="center"/>
    </xf>
    <xf numFmtId="0" fontId="22" fillId="22" borderId="0" xfId="0" applyFont="1" applyFill="1" applyAlignment="1">
      <alignment horizontal="center" vertical="center"/>
    </xf>
    <xf numFmtId="0" fontId="22" fillId="15" borderId="0" xfId="0" applyFont="1" applyFill="1" applyAlignment="1">
      <alignment horizontal="center" vertical="center"/>
    </xf>
    <xf numFmtId="0" fontId="22" fillId="27" borderId="0" xfId="0" applyFont="1" applyFill="1" applyAlignment="1">
      <alignment horizontal="center" vertical="center"/>
    </xf>
    <xf numFmtId="0" fontId="22" fillId="28" borderId="0" xfId="0" applyFont="1" applyFill="1" applyAlignment="1">
      <alignment horizontal="center" vertical="center"/>
    </xf>
  </cellXfs>
  <cellStyles count="3">
    <cellStyle name="一般" xfId="0" builtinId="0"/>
    <cellStyle name="百分比" xfId="1" builtinId="5"/>
    <cellStyle name="超連結" xfId="2" builtinId="8"/>
  </cellStyles>
  <dxfs count="71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theme="1"/>
      </font>
    </dxf>
    <dxf>
      <font>
        <b/>
        <i val="0"/>
        <color theme="1"/>
      </font>
    </dxf>
    <dxf>
      <font>
        <color rgb="FFFF3300"/>
      </font>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1"/>
      </font>
    </dxf>
    <dxf>
      <font>
        <b/>
        <i val="0"/>
        <color theme="1"/>
      </font>
    </dxf>
    <dxf>
      <font>
        <color rgb="FFFF3300"/>
      </font>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strike val="0"/>
        <color auto="1"/>
      </font>
      <numFmt numFmtId="0" formatCode="Genera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theme="1"/>
      </font>
    </dxf>
    <dxf>
      <font>
        <b/>
        <i val="0"/>
        <color theme="1"/>
      </font>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1"/>
      </font>
    </dxf>
    <dxf>
      <font>
        <b/>
        <i val="0"/>
        <color theme="1"/>
      </font>
    </dxf>
    <dxf>
      <font>
        <b/>
        <i val="0"/>
        <strike val="0"/>
        <color auto="1"/>
      </font>
      <numFmt numFmtId="0" formatCode="General"/>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b/>
        <i val="0"/>
        <strike val="0"/>
        <color auto="1"/>
      </font>
      <numFmt numFmtId="0" formatCode="Genera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90033"/>
      </font>
      <fill>
        <patternFill>
          <bgColor rgb="FFFFCCC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90033"/>
      </font>
      <fill>
        <patternFill>
          <bgColor rgb="FFFFCCC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90033"/>
      </font>
      <fill>
        <patternFill>
          <bgColor rgb="FFFFCCC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90033"/>
      </font>
      <fill>
        <patternFill>
          <bgColor rgb="FFFFCCCC"/>
        </patternFill>
      </fill>
    </dxf>
    <dxf>
      <font>
        <color rgb="FF006100"/>
      </font>
      <fill>
        <patternFill>
          <bgColor rgb="FFC6EFCE"/>
        </patternFill>
      </fill>
    </dxf>
    <dxf>
      <font>
        <color rgb="FF990033"/>
      </font>
      <fill>
        <patternFill>
          <fgColor auto="1"/>
          <bgColor rgb="FFFFCCCC"/>
        </patternFill>
      </fill>
    </dxf>
    <dxf>
      <font>
        <color rgb="FF006100"/>
      </font>
      <fill>
        <patternFill>
          <bgColor rgb="FFC6EFCE"/>
        </patternFill>
      </fill>
    </dxf>
    <dxf>
      <font>
        <color rgb="FF990033"/>
      </font>
      <fill>
        <patternFill>
          <bgColor rgb="FFFFCCCC"/>
        </patternFill>
      </fill>
    </dxf>
    <dxf>
      <font>
        <color rgb="FF9C0006"/>
      </font>
      <fill>
        <patternFill>
          <bgColor rgb="FFFFC7CE"/>
        </patternFill>
      </fill>
    </dxf>
    <dxf>
      <font>
        <color rgb="FF006100"/>
      </font>
      <fill>
        <patternFill>
          <bgColor rgb="FFC6EFCE"/>
        </patternFill>
      </fill>
    </dxf>
    <dxf>
      <font>
        <color theme="5" tint="-0.499984740745262"/>
      </font>
      <fill>
        <patternFill>
          <bgColor theme="7" tint="0.59996337778862885"/>
        </patternFill>
      </fill>
    </dxf>
    <dxf>
      <font>
        <color rgb="FF006100"/>
      </font>
      <fill>
        <patternFill>
          <bgColor rgb="FFC6EFCE"/>
        </patternFill>
      </fill>
    </dxf>
    <dxf>
      <font>
        <color theme="5" tint="-0.499984740745262"/>
      </font>
      <fill>
        <patternFill>
          <bgColor theme="7" tint="0.59996337778862885"/>
        </patternFill>
      </fill>
    </dxf>
    <dxf>
      <font>
        <color theme="5" tint="-0.499984740745262"/>
      </font>
      <fill>
        <patternFill>
          <bgColor theme="7" tint="0.59996337778862885"/>
        </patternFill>
      </fill>
    </dxf>
    <dxf>
      <font>
        <color theme="5" tint="-0.499984740745262"/>
      </font>
      <fill>
        <patternFill>
          <bgColor theme="7"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FF3300"/>
      </font>
    </dxf>
    <dxf>
      <font>
        <color theme="9" tint="-0.24994659260841701"/>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b/>
        <i val="0"/>
        <strike val="0"/>
        <color auto="1"/>
      </font>
      <numFmt numFmtId="0" formatCode="Genera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FF3300"/>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90033"/>
      </font>
      <fill>
        <patternFill>
          <bgColor rgb="FFFFCCC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90033"/>
      </font>
      <fill>
        <patternFill>
          <bgColor rgb="FFFFCCC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90033"/>
      </font>
      <fill>
        <patternFill>
          <bgColor rgb="FFFFCCC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90033"/>
      </font>
      <fill>
        <patternFill>
          <bgColor rgb="FFFFCCCC"/>
        </patternFill>
      </fill>
    </dxf>
    <dxf>
      <font>
        <color rgb="FF006100"/>
      </font>
      <fill>
        <patternFill>
          <bgColor rgb="FFC6EFCE"/>
        </patternFill>
      </fill>
    </dxf>
    <dxf>
      <font>
        <color rgb="FF990033"/>
      </font>
      <fill>
        <patternFill>
          <fgColor auto="1"/>
          <bgColor rgb="FFFFCCCC"/>
        </patternFill>
      </fill>
    </dxf>
    <dxf>
      <font>
        <color rgb="FF006100"/>
      </font>
      <fill>
        <patternFill>
          <bgColor rgb="FFC6EFCE"/>
        </patternFill>
      </fill>
    </dxf>
    <dxf>
      <font>
        <color rgb="FF990033"/>
      </font>
      <fill>
        <patternFill>
          <bgColor rgb="FFFFCCCC"/>
        </patternFill>
      </fill>
    </dxf>
    <dxf>
      <font>
        <color theme="5" tint="-0.499984740745262"/>
      </font>
      <fill>
        <patternFill>
          <bgColor theme="7" tint="0.59996337778862885"/>
        </patternFill>
      </fill>
    </dxf>
    <dxf>
      <font>
        <color theme="5" tint="-0.499984740745262"/>
      </font>
      <fill>
        <patternFill>
          <bgColor theme="7" tint="0.59996337778862885"/>
        </patternFill>
      </fill>
    </dxf>
    <dxf>
      <font>
        <color theme="5" tint="-0.499984740745262"/>
      </font>
      <fill>
        <patternFill>
          <bgColor theme="7" tint="0.59996337778862885"/>
        </patternFill>
      </fill>
    </dxf>
    <dxf>
      <font>
        <color theme="5" tint="-0.499984740745262"/>
      </font>
      <fill>
        <patternFill>
          <bgColor theme="7"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181" formatCode="0.0%"/>
    </dxf>
    <dxf>
      <font>
        <color theme="8" tint="0.59996337778862885"/>
      </font>
      <fill>
        <patternFill>
          <bgColor theme="8" tint="0.59996337778862885"/>
        </patternFill>
      </fill>
    </dxf>
    <dxf>
      <font>
        <color rgb="FF006100"/>
      </font>
      <fill>
        <patternFill>
          <bgColor rgb="FFC6EFCE"/>
        </patternFill>
      </fill>
    </dxf>
    <dxf>
      <font>
        <color rgb="FF9C0006"/>
      </font>
      <fill>
        <patternFill>
          <bgColor rgb="FFFFC7CE"/>
        </patternFill>
      </fill>
    </dxf>
    <dxf>
      <font>
        <color rgb="FFCCCC00"/>
      </font>
      <fill>
        <patternFill>
          <bgColor rgb="FFCCCC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EFDDDD"/>
      <color rgb="FFD1DAFF"/>
      <color rgb="FFCCECFF"/>
      <color rgb="FFCCFFFF"/>
      <color rgb="FFCCCC00"/>
      <color rgb="FF00B050"/>
      <color rgb="FFECE9D8"/>
      <color rgb="FFEEEEEE"/>
      <color rgb="FFCC0000"/>
      <color rgb="FFFFE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fmlaLink="計分版!$I$15" lockText="1" noThreeD="1"/>
</file>

<file path=xl/ctrlProps/ctrlProp2.xml><?xml version="1.0" encoding="utf-8"?>
<formControlPr xmlns="http://schemas.microsoft.com/office/spreadsheetml/2009/9/main" objectType="CheckBox" fmlaLink="計分版!$I$16" lockText="1" noThreeD="1"/>
</file>

<file path=xl/ctrlProps/ctrlProp3.xml><?xml version="1.0" encoding="utf-8"?>
<formControlPr xmlns="http://schemas.microsoft.com/office/spreadsheetml/2009/9/main" objectType="CheckBox" checked="Checked" fmlaLink="'A123'!$A$1" lockText="1" noThreeD="1"/>
</file>

<file path=xl/drawings/drawing1.xml><?xml version="1.0" encoding="utf-8"?>
<xdr:wsDr xmlns:xdr="http://schemas.openxmlformats.org/drawingml/2006/spreadsheetDrawing" xmlns:a="http://schemas.openxmlformats.org/drawingml/2006/main">
  <xdr:twoCellAnchor>
    <xdr:from>
      <xdr:col>0</xdr:col>
      <xdr:colOff>630923</xdr:colOff>
      <xdr:row>0</xdr:row>
      <xdr:rowOff>91440</xdr:rowOff>
    </xdr:from>
    <xdr:to>
      <xdr:col>6</xdr:col>
      <xdr:colOff>438150</xdr:colOff>
      <xdr:row>2</xdr:row>
      <xdr:rowOff>177666</xdr:rowOff>
    </xdr:to>
    <xdr:sp macro="" textlink="">
      <xdr:nvSpPr>
        <xdr:cNvPr id="2" name="文字方塊 1">
          <a:extLst>
            <a:ext uri="{FF2B5EF4-FFF2-40B4-BE49-F238E27FC236}">
              <a16:creationId xmlns:a16="http://schemas.microsoft.com/office/drawing/2014/main" id="{00000000-0008-0000-0000-000002000000}"/>
            </a:ext>
          </a:extLst>
        </xdr:cNvPr>
        <xdr:cNvSpPr txBox="1"/>
      </xdr:nvSpPr>
      <xdr:spPr>
        <a:xfrm>
          <a:off x="630923" y="91440"/>
          <a:ext cx="4360177" cy="629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b="1">
              <a:latin typeface="微軟正黑體" panose="020B0604030504040204" pitchFamily="34" charset="-120"/>
              <a:ea typeface="微軟正黑體" panose="020B0604030504040204" pitchFamily="34" charset="-120"/>
            </a:rPr>
            <a:t>2020</a:t>
          </a:r>
          <a:r>
            <a:rPr lang="en-US" altLang="zh-TW" sz="2400" b="1" baseline="0">
              <a:latin typeface="微軟正黑體" panose="020B0604030504040204" pitchFamily="34" charset="-120"/>
              <a:ea typeface="微軟正黑體" panose="020B0604030504040204" pitchFamily="34" charset="-120"/>
            </a:rPr>
            <a:t> JUPAS </a:t>
          </a:r>
          <a:r>
            <a:rPr lang="zh-TW" altLang="en-US" sz="2400" b="1" baseline="0">
              <a:latin typeface="微軟正黑體" panose="020B0604030504040204" pitchFamily="34" charset="-120"/>
              <a:ea typeface="微軟正黑體" panose="020B0604030504040204" pitchFamily="34" charset="-120"/>
            </a:rPr>
            <a:t>計分器 </a:t>
          </a:r>
          <a:r>
            <a:rPr lang="en-US" altLang="zh-TW" sz="2400" b="1" baseline="0">
              <a:latin typeface="微軟正黑體" panose="020B0604030504040204" pitchFamily="34" charset="-120"/>
              <a:ea typeface="微軟正黑體" panose="020B0604030504040204" pitchFamily="34" charset="-120"/>
            </a:rPr>
            <a:t>Ver 3.2.6</a:t>
          </a:r>
        </a:p>
        <a:p>
          <a:endParaRPr lang="en-US" altLang="zh-TW" sz="2400" b="1" baseline="0">
            <a:latin typeface="微軟正黑體" panose="020B0604030504040204" pitchFamily="34" charset="-120"/>
            <a:ea typeface="微軟正黑體" panose="020B0604030504040204" pitchFamily="34" charset="-120"/>
          </a:endParaRPr>
        </a:p>
        <a:p>
          <a:endParaRPr lang="zh-TW" altLang="en-US" sz="2400" b="1">
            <a:latin typeface="微軟正黑體" panose="020B0604030504040204" pitchFamily="34" charset="-120"/>
            <a:ea typeface="微軟正黑體" panose="020B0604030504040204" pitchFamily="34" charset="-120"/>
          </a:endParaRPr>
        </a:p>
      </xdr:txBody>
    </xdr:sp>
    <xdr:clientData/>
  </xdr:twoCellAnchor>
  <mc:AlternateContent xmlns:mc="http://schemas.openxmlformats.org/markup-compatibility/2006">
    <mc:Choice xmlns:a14="http://schemas.microsoft.com/office/drawing/2010/main" Requires="a14">
      <xdr:twoCellAnchor editAs="oneCell">
        <xdr:from>
          <xdr:col>6</xdr:col>
          <xdr:colOff>104775</xdr:colOff>
          <xdr:row>3</xdr:row>
          <xdr:rowOff>180975</xdr:rowOff>
        </xdr:from>
        <xdr:to>
          <xdr:col>7</xdr:col>
          <xdr:colOff>219075</xdr:colOff>
          <xdr:row>5</xdr:row>
          <xdr:rowOff>19050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zh-TW" altLang="en-US" sz="900" b="0" i="0" u="none" strike="noStrike" baseline="0">
                  <a:solidFill>
                    <a:srgbClr val="000000"/>
                  </a:solidFill>
                  <a:latin typeface="Microsoft JhengHei UI"/>
                  <a:ea typeface="Microsoft JhengHei UI"/>
                </a:rPr>
                <a:t>包括M1/2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3</xdr:row>
          <xdr:rowOff>152400</xdr:rowOff>
        </xdr:from>
        <xdr:to>
          <xdr:col>3</xdr:col>
          <xdr:colOff>57150</xdr:colOff>
          <xdr:row>5</xdr:row>
          <xdr:rowOff>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zh-TW" altLang="en-US" sz="900" b="0" i="0" u="none" strike="noStrike" baseline="0">
                  <a:solidFill>
                    <a:srgbClr val="000000"/>
                  </a:solidFill>
                  <a:latin typeface="Microsoft JhengHei UI"/>
                  <a:ea typeface="Microsoft JhengHei UI"/>
                </a:rPr>
                <a:t>數字模式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266700</xdr:colOff>
          <xdr:row>11</xdr:row>
          <xdr:rowOff>104775</xdr:rowOff>
        </xdr:from>
        <xdr:to>
          <xdr:col>13</xdr:col>
          <xdr:colOff>447675</xdr:colOff>
          <xdr:row>12</xdr:row>
          <xdr:rowOff>152400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zh-TW" altLang="en-US" sz="900" b="0" i="0" u="none" strike="noStrike" baseline="0">
                  <a:solidFill>
                    <a:srgbClr val="000000"/>
                  </a:solidFill>
                  <a:latin typeface="Microsoft JhengHei UI"/>
                  <a:ea typeface="Microsoft JhengHei UI"/>
                </a:rPr>
                <a:t>以百分比顯示差距</a:t>
              </a:r>
            </a:p>
          </xdr:txBody>
        </xdr:sp>
        <xdr:clientData/>
      </xdr:twoCellAnchor>
    </mc:Choice>
    <mc:Fallback/>
  </mc:AlternateContent>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s://docs.google.com/document/d/1PlgUZLuVP2pIiE0wXQdSt3xS2cCTpqnndAf5P1JKOtk/edit" TargetMode="External"/><Relationship Id="rId1" Type="http://schemas.openxmlformats.org/officeDocument/2006/relationships/hyperlink" Target="https://drive.google.com/drive/folders/1PmyDrmQ2CumbWrqY7NRqa0Ol-M9VnkFz?usp=sharing"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hyperlink" Target="https://aal.hku.hk/admissions/local/admissions-information?page=jupas-admissions-scheme" TargetMode="External"/><Relationship Id="rId7" Type="http://schemas.openxmlformats.org/officeDocument/2006/relationships/comments" Target="../comments10.xml"/><Relationship Id="rId2" Type="http://schemas.openxmlformats.org/officeDocument/2006/relationships/hyperlink" Target="https://aal.hku.hk/admissions/local/sites/default/files/JU20E2.pdf" TargetMode="External"/><Relationship Id="rId1" Type="http://schemas.openxmlformats.org/officeDocument/2006/relationships/hyperlink" Target="https://aal.hku.hk/admissions/local/sites/default/files/2019%20Admissions%20Score.pdf" TargetMode="External"/><Relationship Id="rId6" Type="http://schemas.openxmlformats.org/officeDocument/2006/relationships/vmlDrawing" Target="../drawings/vmlDrawing10.vml"/><Relationship Id="rId5" Type="http://schemas.openxmlformats.org/officeDocument/2006/relationships/hyperlink" Target="https://aal.hku.hk/admissions/cms/sites/default/files/2020%20Programme%20Admissions%20Information.pdf" TargetMode="External"/><Relationship Id="rId4" Type="http://schemas.openxmlformats.org/officeDocument/2006/relationships/hyperlink" Target="https://aal.hku.hk/sites/default/files/2019%20Programme%20Admissions%20Information.pdf"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ln.edu.hk/admissions/ug/f/page/39/923/2019-admissionscores.pdf" TargetMode="External"/><Relationship Id="rId2" Type="http://schemas.openxmlformats.org/officeDocument/2006/relationships/hyperlink" Target="https://www.ln.edu.hk/admissions/ug/jupas/admission-score/subject-weighting" TargetMode="External"/><Relationship Id="rId1" Type="http://schemas.openxmlformats.org/officeDocument/2006/relationships/hyperlink" Target="https://www.ln.edu.hk/admissions/ug/jupas/admission-score/jupas-score-calculator"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eduhk.hk/degree/jupas.htm" TargetMode="External"/><Relationship Id="rId1" Type="http://schemas.openxmlformats.org/officeDocument/2006/relationships/hyperlink" Target="https://www.eduhk.hk/degree/admission%20scores_2019.pdf"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hyperlink" Target="http://www.ouhk.edu.hk/wcsprd/Satellite?c=C_CFTS&amp;cid=1385194857860&amp;d=Touch&amp;lang=eng&amp;mid=0&amp;pagename=OUHK%2FtcSingPage" TargetMode="External"/><Relationship Id="rId1" Type="http://schemas.openxmlformats.org/officeDocument/2006/relationships/hyperlink" Target="http://www.ouhk.edu.hk/wcsprd/Satellite?pagename=OUHK/tcSingPage&amp;c=C_CFTS&amp;cid=1385194857860&amp;lang=eng&amp;mid=0" TargetMode="External"/><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hyperlink" Target="https://www.jupas.edu.hk/f/page/3669/af_2019_SSSDP.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admo.cityu.edu.hk/assessment/score_calculation/" TargetMode="External"/><Relationship Id="rId2" Type="http://schemas.openxmlformats.org/officeDocument/2006/relationships/hyperlink" Target="https://www.admo.cityu.edu.hk/jupas/entreq/bd/" TargetMode="External"/><Relationship Id="rId1" Type="http://schemas.openxmlformats.org/officeDocument/2006/relationships/hyperlink" Target="https://www.cityu.edu.hk/admo/hkdse/scores/jupas_scores2019.pdf"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https://admissions.hkbu.edu.hk/en/programmes-offer.html" TargetMode="External"/><Relationship Id="rId1" Type="http://schemas.openxmlformats.org/officeDocument/2006/relationships/hyperlink" Target="https://admissions.hkbu.edu.hk/en/hkdse.html" TargetMode="External"/><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admission.cuhk.edu.hk/jupas/download.html" TargetMode="External"/><Relationship Id="rId2" Type="http://schemas.openxmlformats.org/officeDocument/2006/relationships/hyperlink" Target="http://www.cuhk.edu.hk/adm/jupas/admission-grades-2019.pdf" TargetMode="External"/><Relationship Id="rId1" Type="http://schemas.openxmlformats.org/officeDocument/2006/relationships/hyperlink" Target="http://www.cuhk.edu.hk/adm/jupas/useful-info2020.pdf"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https://join.ust.hk/jupas-score/" TargetMode="External"/><Relationship Id="rId1" Type="http://schemas.openxmlformats.org/officeDocument/2006/relationships/hyperlink" Target="https://join.ust.hk/docs/adm_figures/2019_adm_figures.pdf"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821CE-A61E-4494-9E18-D8448B55CADC}">
  <dimension ref="A1:T64"/>
  <sheetViews>
    <sheetView showGridLines="0" tabSelected="1" zoomScaleNormal="100" workbookViewId="0">
      <selection activeCell="I5" sqref="I5"/>
    </sheetView>
  </sheetViews>
  <sheetFormatPr defaultColWidth="0" defaultRowHeight="15.75" zeroHeight="1"/>
  <cols>
    <col min="1" max="1" width="9" style="59" customWidth="1"/>
    <col min="2" max="2" width="17" style="59" customWidth="1"/>
    <col min="3" max="3" width="13.125" style="59" customWidth="1"/>
    <col min="4" max="4" width="6.625" style="59" customWidth="1"/>
    <col min="5" max="5" width="5.125" style="59" customWidth="1"/>
    <col min="6" max="6" width="8.875" style="59" customWidth="1"/>
    <col min="7" max="7" width="9" style="60" customWidth="1"/>
    <col min="8" max="8" width="9.875" style="60" customWidth="1"/>
    <col min="9" max="9" width="9.25" style="59" customWidth="1"/>
    <col min="10" max="11" width="7" style="59" customWidth="1"/>
    <col min="12" max="12" width="7.125" style="59" customWidth="1"/>
    <col min="13" max="13" width="8.375" style="59" customWidth="1"/>
    <col min="14" max="14" width="6" style="59" customWidth="1"/>
    <col min="15" max="15" width="5.25" style="59" customWidth="1"/>
    <col min="16" max="20" width="9" style="59" customWidth="1"/>
    <col min="21" max="16384" width="9" style="59" hidden="1"/>
  </cols>
  <sheetData>
    <row r="1" spans="2:15"/>
    <row r="2" spans="2:15" ht="19.5" customHeight="1">
      <c r="H2" s="239" t="s">
        <v>1190</v>
      </c>
    </row>
    <row r="3" spans="2:15">
      <c r="G3" s="203"/>
      <c r="H3" s="227" t="s">
        <v>1181</v>
      </c>
    </row>
    <row r="4" spans="2:15"/>
    <row r="5" spans="2:15" ht="16.5">
      <c r="B5" s="62" t="s">
        <v>0</v>
      </c>
      <c r="F5" s="216" t="s">
        <v>81</v>
      </c>
      <c r="K5" s="248" t="s">
        <v>1542</v>
      </c>
      <c r="L5" s="4"/>
      <c r="M5" s="4"/>
      <c r="N5" s="4"/>
      <c r="O5" s="248"/>
    </row>
    <row r="6" spans="2:15">
      <c r="B6" s="243" t="s">
        <v>1192</v>
      </c>
      <c r="D6" s="199"/>
      <c r="K6" s="249" t="s">
        <v>1547</v>
      </c>
      <c r="L6" s="4"/>
      <c r="M6" s="4"/>
      <c r="N6" s="4"/>
      <c r="O6" s="249"/>
    </row>
    <row r="7" spans="2:15" ht="16.5">
      <c r="B7" s="7" t="s">
        <v>5</v>
      </c>
      <c r="C7" s="8"/>
      <c r="D7" s="202" t="s">
        <v>1148</v>
      </c>
      <c r="F7" s="6" t="s">
        <v>82</v>
      </c>
      <c r="G7" s="201">
        <f>IF(計分版!I15=FALSE,計分版!B15,計分版!E15)</f>
        <v>3.4999999999999999E-9</v>
      </c>
      <c r="H7" s="6" t="s">
        <v>84</v>
      </c>
      <c r="I7" s="201">
        <f>IF(計分版!I15=FALSE,計分版!B17,計分版!G15)</f>
        <v>1.9000000000000001E-9</v>
      </c>
      <c r="K7" s="249"/>
      <c r="L7" s="4"/>
      <c r="M7" s="4"/>
      <c r="N7" s="4"/>
      <c r="O7" s="249"/>
    </row>
    <row r="8" spans="2:15" ht="16.5">
      <c r="B8" s="4" t="s">
        <v>2</v>
      </c>
      <c r="C8" s="5" t="s">
        <v>66</v>
      </c>
      <c r="D8" s="146"/>
      <c r="F8" s="12" t="s">
        <v>80</v>
      </c>
      <c r="G8" s="200">
        <f>IF(計分版!I15=FALSE,計分版!B16,計分版!E16)</f>
        <v>3.9000000000000002E-9</v>
      </c>
      <c r="H8" s="12" t="s">
        <v>83</v>
      </c>
      <c r="I8" s="200">
        <f>IF(計分版!I15=FALSE,計分版!B18,計分版!G16)</f>
        <v>2.7000000000000002E-9</v>
      </c>
      <c r="K8" s="249"/>
      <c r="L8" s="4"/>
      <c r="M8" s="4"/>
      <c r="N8" s="4"/>
      <c r="O8" s="248"/>
    </row>
    <row r="9" spans="2:15" ht="16.5">
      <c r="B9" s="10" t="s">
        <v>1</v>
      </c>
      <c r="C9" s="11" t="s">
        <v>66</v>
      </c>
      <c r="D9" s="145"/>
      <c r="F9" s="59" t="s">
        <v>85</v>
      </c>
      <c r="K9" s="250" t="s">
        <v>1228</v>
      </c>
      <c r="L9" s="4"/>
      <c r="M9" s="4"/>
      <c r="N9" s="4"/>
      <c r="O9" s="249"/>
    </row>
    <row r="10" spans="2:15">
      <c r="B10" s="4" t="s">
        <v>3</v>
      </c>
      <c r="C10" s="5" t="s">
        <v>66</v>
      </c>
      <c r="D10" s="146"/>
      <c r="O10" s="243"/>
    </row>
    <row r="11" spans="2:15" ht="16.5">
      <c r="B11" s="10" t="s">
        <v>4</v>
      </c>
      <c r="C11" s="11" t="s">
        <v>66</v>
      </c>
      <c r="D11" s="145"/>
      <c r="F11" s="209" t="s">
        <v>1149</v>
      </c>
      <c r="I11" s="241" t="s">
        <v>1173</v>
      </c>
    </row>
    <row r="12" spans="2:15">
      <c r="B12" s="143" t="s">
        <v>87</v>
      </c>
      <c r="C12" s="144" t="s">
        <v>1531</v>
      </c>
      <c r="D12" s="146"/>
      <c r="E12" s="208"/>
      <c r="F12" s="211" t="s">
        <v>1150</v>
      </c>
      <c r="G12" s="210"/>
      <c r="I12" s="240" t="s">
        <v>1174</v>
      </c>
    </row>
    <row r="13" spans="2:15" ht="14.45" customHeight="1">
      <c r="C13" s="61"/>
      <c r="D13" s="61" t="s">
        <v>1521</v>
      </c>
      <c r="E13" s="208"/>
      <c r="G13" s="210"/>
      <c r="H13" s="210"/>
      <c r="O13" s="242" t="s">
        <v>1191</v>
      </c>
    </row>
    <row r="14" spans="2:15" ht="16.5">
      <c r="B14" s="7" t="s">
        <v>6</v>
      </c>
      <c r="C14" s="9"/>
      <c r="D14" s="9"/>
      <c r="E14" s="208"/>
      <c r="F14" s="208"/>
      <c r="G14" s="223" t="s">
        <v>1151</v>
      </c>
      <c r="H14" s="223" t="s">
        <v>1152</v>
      </c>
      <c r="I14" s="224" t="s">
        <v>1158</v>
      </c>
      <c r="J14" s="224" t="s">
        <v>403</v>
      </c>
      <c r="K14" s="224" t="s">
        <v>1156</v>
      </c>
      <c r="L14" s="224" t="s">
        <v>1157</v>
      </c>
      <c r="M14" s="225" t="s">
        <v>1180</v>
      </c>
      <c r="N14" s="224" t="s">
        <v>394</v>
      </c>
      <c r="O14" s="225" t="s">
        <v>1193</v>
      </c>
    </row>
    <row r="15" spans="2:15" ht="16.5">
      <c r="B15" s="4" t="s">
        <v>1544</v>
      </c>
      <c r="C15" s="5" t="s">
        <v>66</v>
      </c>
      <c r="D15" s="146"/>
      <c r="E15" s="213" t="s">
        <v>1153</v>
      </c>
      <c r="F15" s="214"/>
      <c r="G15" s="256" t="str">
        <f>'A123'!B16</f>
        <v/>
      </c>
      <c r="H15" s="256" t="str">
        <f>'A123'!C16</f>
        <v/>
      </c>
      <c r="I15" s="256" t="str">
        <f>'A123'!D16</f>
        <v/>
      </c>
      <c r="J15" s="256" t="str">
        <f>'A123'!E16</f>
        <v/>
      </c>
      <c r="K15" s="256" t="str">
        <f>'A123'!F16</f>
        <v/>
      </c>
      <c r="L15" s="256" t="str">
        <f>'A123'!G16</f>
        <v/>
      </c>
      <c r="M15" s="257" t="str">
        <f>'A123'!H16</f>
        <v/>
      </c>
      <c r="N15" s="256" t="str">
        <f>'A123'!I16</f>
        <v/>
      </c>
      <c r="O15" s="258" t="str">
        <f>'A123'!J16</f>
        <v/>
      </c>
    </row>
    <row r="16" spans="2:15" ht="16.5">
      <c r="B16" s="10" t="s">
        <v>1545</v>
      </c>
      <c r="C16" s="11" t="s">
        <v>66</v>
      </c>
      <c r="D16" s="145"/>
      <c r="E16" s="212"/>
      <c r="F16" s="251"/>
      <c r="G16" s="226" t="str">
        <f>'A123'!C16</f>
        <v/>
      </c>
      <c r="H16" s="252"/>
      <c r="I16" s="199"/>
      <c r="J16" s="254" t="str">
        <f>IF('A123'!A1=FALSE,'A123'!B5,'A123'!F5)</f>
        <v/>
      </c>
      <c r="K16" s="254" t="str">
        <f>IF('A123'!A1=FALSE,'A123'!C5,'A123'!G5)</f>
        <v/>
      </c>
      <c r="L16" s="254" t="str">
        <f>IF('A123'!A1=FALSE,'A123'!D5,'A123'!H5)</f>
        <v/>
      </c>
      <c r="M16" s="226"/>
      <c r="N16" s="226"/>
    </row>
    <row r="17" spans="2:16" ht="16.5">
      <c r="B17" s="4" t="s">
        <v>1546</v>
      </c>
      <c r="C17" s="5" t="s">
        <v>66</v>
      </c>
      <c r="D17" s="146"/>
      <c r="E17" s="213" t="s">
        <v>1154</v>
      </c>
      <c r="F17" s="214"/>
      <c r="G17" s="256" t="str">
        <f>'A123'!B17</f>
        <v/>
      </c>
      <c r="H17" s="256" t="str">
        <f>'A123'!C17</f>
        <v/>
      </c>
      <c r="I17" s="256" t="str">
        <f>'A123'!D17</f>
        <v/>
      </c>
      <c r="J17" s="256" t="str">
        <f>'A123'!E17</f>
        <v/>
      </c>
      <c r="K17" s="256" t="str">
        <f>'A123'!F17</f>
        <v/>
      </c>
      <c r="L17" s="256" t="str">
        <f>'A123'!G17</f>
        <v/>
      </c>
      <c r="M17" s="257" t="str">
        <f>'A123'!H17</f>
        <v/>
      </c>
      <c r="N17" s="256" t="str">
        <f>'A123'!I17</f>
        <v/>
      </c>
      <c r="O17" s="258" t="str">
        <f>'A123'!J17</f>
        <v/>
      </c>
      <c r="P17" s="59" t="s">
        <v>1515</v>
      </c>
    </row>
    <row r="18" spans="2:16" ht="16.5">
      <c r="B18" s="10" t="s">
        <v>1540</v>
      </c>
      <c r="C18" s="10" t="s">
        <v>66</v>
      </c>
      <c r="D18" s="145"/>
      <c r="E18" s="212"/>
      <c r="F18" s="211"/>
      <c r="G18" s="226" t="str">
        <f>'A123'!C17</f>
        <v/>
      </c>
      <c r="H18" s="252"/>
      <c r="I18" s="199"/>
      <c r="J18" s="254" t="str">
        <f>IF('A123'!A1=FALSE,'A123'!B7,'A123'!F7)</f>
        <v/>
      </c>
      <c r="K18" s="254" t="str">
        <f>IF('A123'!A1=FALSE,'A123'!C7,'A123'!G7)</f>
        <v/>
      </c>
      <c r="L18" s="254" t="str">
        <f>IF('A123'!A1=FALSE,'A123'!D7,'A123'!H7)</f>
        <v/>
      </c>
      <c r="M18" s="226"/>
      <c r="N18" s="226"/>
    </row>
    <row r="19" spans="2:16" ht="16.5">
      <c r="B19" s="4" t="s">
        <v>1541</v>
      </c>
      <c r="C19" s="4" t="s">
        <v>66</v>
      </c>
      <c r="D19" s="146"/>
      <c r="E19" s="213" t="s">
        <v>1155</v>
      </c>
      <c r="F19" s="214"/>
      <c r="G19" s="256" t="str">
        <f>'A123'!B18</f>
        <v/>
      </c>
      <c r="H19" s="256" t="str">
        <f>'A123'!C18</f>
        <v/>
      </c>
      <c r="I19" s="256" t="str">
        <f>'A123'!D18</f>
        <v/>
      </c>
      <c r="J19" s="256" t="str">
        <f>'A123'!E18</f>
        <v/>
      </c>
      <c r="K19" s="256" t="str">
        <f>'A123'!F18</f>
        <v/>
      </c>
      <c r="L19" s="256" t="str">
        <f>'A123'!G18</f>
        <v/>
      </c>
      <c r="M19" s="257" t="str">
        <f>'A123'!H18</f>
        <v/>
      </c>
      <c r="N19" s="256" t="str">
        <f>'A123'!I18</f>
        <v/>
      </c>
      <c r="O19" s="258" t="str">
        <f>'A123'!J18</f>
        <v/>
      </c>
    </row>
    <row r="20" spans="2:16">
      <c r="D20" s="61"/>
      <c r="E20" s="208"/>
      <c r="F20" s="211"/>
      <c r="G20" s="226" t="str">
        <f>'A123'!C18</f>
        <v/>
      </c>
      <c r="H20" s="253"/>
      <c r="I20" s="199"/>
      <c r="J20" s="254" t="str">
        <f>IF('A123'!A1=FALSE,'A123'!B9,'A123'!F9)</f>
        <v/>
      </c>
      <c r="K20" s="254" t="str">
        <f>IF('A123'!A1=FALSE,'A123'!C9,'A123'!G9)</f>
        <v/>
      </c>
      <c r="L20" s="254" t="str">
        <f>IF('A123'!A1=FALSE,'A123'!D9,'A123'!H9)</f>
        <v/>
      </c>
      <c r="M20" s="226"/>
      <c r="N20" s="226"/>
    </row>
    <row r="21" spans="2:16">
      <c r="E21" s="208"/>
      <c r="F21" s="215"/>
      <c r="H21" s="210"/>
    </row>
    <row r="22" spans="2:16" ht="18.75">
      <c r="B22" s="303" t="s">
        <v>1532</v>
      </c>
      <c r="C22" s="4"/>
      <c r="D22" s="4"/>
      <c r="E22" s="305" t="s">
        <v>1146</v>
      </c>
      <c r="F22" s="305"/>
      <c r="G22" s="305"/>
      <c r="H22" s="305"/>
      <c r="I22" s="305"/>
      <c r="J22" s="305"/>
      <c r="K22" s="305"/>
      <c r="L22" s="305"/>
      <c r="M22" s="305"/>
      <c r="N22" s="305"/>
      <c r="O22" s="4"/>
    </row>
    <row r="23" spans="2:16">
      <c r="B23" s="199" t="s">
        <v>1147</v>
      </c>
    </row>
    <row r="24" spans="2:16" ht="16.5">
      <c r="B24" s="304" t="s">
        <v>1527</v>
      </c>
      <c r="C24" s="306" t="s">
        <v>1526</v>
      </c>
      <c r="D24" s="306"/>
      <c r="E24" s="306"/>
      <c r="F24" s="306"/>
      <c r="G24" s="306"/>
      <c r="H24" s="306"/>
      <c r="I24" s="306"/>
      <c r="J24" s="306"/>
      <c r="K24" s="306"/>
      <c r="L24" s="306"/>
      <c r="M24" s="306"/>
      <c r="N24" s="306"/>
      <c r="O24" s="306"/>
    </row>
    <row r="25" spans="2:16"/>
    <row r="26" spans="2:16">
      <c r="B26" s="297" t="s">
        <v>1236</v>
      </c>
      <c r="C26" s="298"/>
      <c r="D26" s="4"/>
      <c r="E26" s="4"/>
      <c r="F26" s="4"/>
      <c r="G26" s="299"/>
      <c r="H26" s="302"/>
      <c r="I26" s="4"/>
      <c r="J26" s="4"/>
      <c r="K26" s="4"/>
    </row>
    <row r="27" spans="2:16">
      <c r="B27" s="248" t="s">
        <v>1543</v>
      </c>
      <c r="C27" s="4"/>
      <c r="D27" s="297" t="s">
        <v>1517</v>
      </c>
      <c r="E27" s="298"/>
      <c r="F27" s="298"/>
      <c r="G27" s="299"/>
      <c r="H27" s="297" t="s">
        <v>1230</v>
      </c>
      <c r="I27" s="298"/>
      <c r="J27" s="298"/>
      <c r="K27" s="299"/>
    </row>
    <row r="28" spans="2:16">
      <c r="B28" s="249" t="s">
        <v>1530</v>
      </c>
      <c r="C28" s="4"/>
      <c r="D28" s="300" t="s">
        <v>1249</v>
      </c>
      <c r="E28" s="4"/>
      <c r="F28" s="4"/>
      <c r="G28" s="299"/>
      <c r="H28" s="300" t="s">
        <v>1227</v>
      </c>
      <c r="I28" s="298"/>
      <c r="J28" s="298"/>
      <c r="K28" s="299"/>
    </row>
    <row r="29" spans="2:16">
      <c r="B29" s="248" t="s">
        <v>1529</v>
      </c>
      <c r="C29" s="298"/>
      <c r="D29" s="300" t="s">
        <v>1509</v>
      </c>
      <c r="E29" s="4"/>
      <c r="F29" s="4"/>
      <c r="G29" s="299"/>
      <c r="H29" s="300" t="s">
        <v>1226</v>
      </c>
      <c r="I29" s="298"/>
      <c r="J29" s="298"/>
      <c r="K29" s="299"/>
    </row>
    <row r="30" spans="2:16">
      <c r="B30" s="249" t="s">
        <v>1525</v>
      </c>
      <c r="C30" s="298"/>
      <c r="D30" s="300" t="s">
        <v>1516</v>
      </c>
      <c r="E30" s="4"/>
      <c r="F30" s="4"/>
      <c r="G30" s="299"/>
      <c r="H30" s="302"/>
      <c r="I30" s="4"/>
      <c r="J30" s="4"/>
      <c r="K30" s="4"/>
    </row>
    <row r="31" spans="2:16">
      <c r="B31" s="248" t="s">
        <v>1528</v>
      </c>
      <c r="C31" s="298"/>
      <c r="D31" s="297" t="s">
        <v>1246</v>
      </c>
      <c r="E31" s="299"/>
      <c r="F31" s="299"/>
      <c r="G31" s="299"/>
      <c r="H31" s="297" t="s">
        <v>1241</v>
      </c>
      <c r="I31" s="298"/>
      <c r="J31" s="298"/>
      <c r="K31" s="4"/>
    </row>
    <row r="32" spans="2:16">
      <c r="B32" s="249" t="s">
        <v>1523</v>
      </c>
      <c r="C32" s="298"/>
      <c r="D32" s="300" t="s">
        <v>1238</v>
      </c>
      <c r="E32" s="299"/>
      <c r="F32" s="299"/>
      <c r="G32" s="299"/>
      <c r="H32" s="300" t="s">
        <v>1240</v>
      </c>
      <c r="I32" s="298"/>
      <c r="J32" s="298"/>
      <c r="K32" s="4"/>
    </row>
    <row r="33" spans="2:11">
      <c r="B33" s="249" t="s">
        <v>1524</v>
      </c>
      <c r="C33" s="298"/>
      <c r="D33" s="300" t="s">
        <v>1239</v>
      </c>
      <c r="E33" s="299"/>
      <c r="F33" s="299"/>
      <c r="G33" s="299"/>
      <c r="H33" s="300" t="s">
        <v>1242</v>
      </c>
      <c r="I33" s="298"/>
      <c r="J33" s="298"/>
      <c r="K33" s="4"/>
    </row>
    <row r="34" spans="2:11" ht="15" customHeight="1">
      <c r="B34" s="248" t="s">
        <v>1522</v>
      </c>
      <c r="C34" s="298"/>
      <c r="D34" s="300" t="s">
        <v>1245</v>
      </c>
      <c r="E34" s="299"/>
      <c r="F34" s="299"/>
      <c r="G34" s="299"/>
      <c r="H34" s="300" t="s">
        <v>1243</v>
      </c>
      <c r="I34" s="298"/>
      <c r="J34" s="298"/>
      <c r="K34" s="4"/>
    </row>
    <row r="35" spans="2:11">
      <c r="B35" s="249" t="s">
        <v>1519</v>
      </c>
      <c r="C35" s="298"/>
      <c r="D35" s="297" t="s">
        <v>1237</v>
      </c>
      <c r="E35" s="298"/>
      <c r="F35" s="298"/>
      <c r="G35" s="299"/>
      <c r="H35" s="302"/>
      <c r="I35" s="4"/>
      <c r="J35" s="4"/>
      <c r="K35" s="4"/>
    </row>
    <row r="36" spans="2:11">
      <c r="B36" s="248" t="s">
        <v>1520</v>
      </c>
      <c r="C36" s="298"/>
      <c r="D36" s="300" t="s">
        <v>1234</v>
      </c>
      <c r="E36" s="298"/>
      <c r="F36" s="298"/>
      <c r="G36" s="299"/>
      <c r="H36" s="302"/>
      <c r="I36" s="4"/>
      <c r="J36" s="4"/>
      <c r="K36" s="4"/>
    </row>
    <row r="37" spans="2:11">
      <c r="B37" s="249" t="s">
        <v>1518</v>
      </c>
      <c r="C37" s="298"/>
      <c r="D37" s="300" t="s">
        <v>1235</v>
      </c>
      <c r="E37" s="298"/>
      <c r="F37" s="298"/>
      <c r="G37" s="302"/>
      <c r="H37" s="302"/>
      <c r="I37" s="4"/>
      <c r="J37" s="4"/>
      <c r="K37" s="4"/>
    </row>
    <row r="38" spans="2:11">
      <c r="B38" s="4"/>
      <c r="C38" s="4"/>
      <c r="D38" s="297" t="s">
        <v>1233</v>
      </c>
      <c r="E38" s="298"/>
      <c r="F38" s="298"/>
      <c r="G38" s="302"/>
      <c r="H38" s="302"/>
      <c r="I38" s="4"/>
      <c r="J38" s="4"/>
      <c r="K38" s="4"/>
    </row>
    <row r="39" spans="2:11">
      <c r="B39" s="4"/>
      <c r="C39" s="4"/>
      <c r="D39" s="300" t="s">
        <v>1231</v>
      </c>
      <c r="E39" s="298"/>
      <c r="F39" s="298"/>
      <c r="G39" s="302"/>
      <c r="H39" s="302"/>
      <c r="I39" s="4"/>
      <c r="J39" s="4"/>
      <c r="K39" s="4"/>
    </row>
    <row r="40" spans="2:11">
      <c r="B40" s="4"/>
      <c r="C40" s="298"/>
      <c r="D40" s="300" t="s">
        <v>1232</v>
      </c>
      <c r="E40" s="298"/>
      <c r="F40" s="298"/>
      <c r="G40" s="299"/>
      <c r="H40" s="302"/>
      <c r="I40" s="4"/>
      <c r="J40" s="4"/>
      <c r="K40" s="4"/>
    </row>
    <row r="41" spans="2:11">
      <c r="B41" s="300"/>
      <c r="C41" s="298"/>
      <c r="D41" s="298"/>
      <c r="E41" s="298"/>
      <c r="F41" s="298"/>
      <c r="G41" s="299"/>
      <c r="H41" s="302"/>
      <c r="I41" s="4"/>
      <c r="J41" s="4"/>
      <c r="K41" s="4"/>
    </row>
    <row r="42" spans="2:11"/>
    <row r="43" spans="2:11"/>
    <row r="44" spans="2:11" hidden="1"/>
    <row r="45" spans="2:11" hidden="1"/>
    <row r="46" spans="2:11" hidden="1"/>
    <row r="47" spans="2:11" hidden="1"/>
    <row r="48" spans="2:11" hidden="1"/>
    <row r="49" hidden="1"/>
    <row r="50" hidden="1"/>
    <row r="51" hidden="1"/>
    <row r="52" hidden="1"/>
    <row r="53" hidden="1"/>
    <row r="54" hidden="1"/>
    <row r="55" hidden="1"/>
    <row r="56" hidden="1"/>
    <row r="57" hidden="1"/>
    <row r="58" hidden="1"/>
    <row r="59" hidden="1"/>
    <row r="60" hidden="1"/>
    <row r="61" hidden="1"/>
    <row r="62" hidden="1"/>
    <row r="63" hidden="1"/>
    <row r="64"/>
  </sheetData>
  <mergeCells count="2">
    <mergeCell ref="E22:N22"/>
    <mergeCell ref="C24:O24"/>
  </mergeCells>
  <phoneticPr fontId="2" type="noConversion"/>
  <conditionalFormatting sqref="O15 O17 O19">
    <cfRule type="cellIs" dxfId="713" priority="10" operator="equal">
      <formula>0</formula>
    </cfRule>
    <cfRule type="cellIs" dxfId="712" priority="11" operator="equal">
      <formula>1</formula>
    </cfRule>
  </conditionalFormatting>
  <conditionalFormatting sqref="O17 O19 O15">
    <cfRule type="cellIs" dxfId="711" priority="9" operator="equal">
      <formula>2</formula>
    </cfRule>
  </conditionalFormatting>
  <conditionalFormatting sqref="J16:L16 J18:L18 J20:L20">
    <cfRule type="containsBlanks" priority="2" stopIfTrue="1">
      <formula>LEN(TRIM(J16))=0</formula>
    </cfRule>
    <cfRule type="cellIs" dxfId="710" priority="3" operator="lessThan">
      <formula>0</formula>
    </cfRule>
    <cfRule type="cellIs" dxfId="709" priority="4" operator="greaterThanOrEqual">
      <formula>0</formula>
    </cfRule>
  </conditionalFormatting>
  <dataValidations xWindow="600" yWindow="521" count="6">
    <dataValidation type="list" allowBlank="1" showInputMessage="1" showErrorMessage="1" errorTitle="ERROR" error="請選擇所修讀的選修科目" sqref="B15" xr:uid="{7EE706FD-5DFB-43E8-9DF2-7CD0660B4849}">
      <formula1>第一選修科</formula1>
    </dataValidation>
    <dataValidation type="list" allowBlank="1" showInputMessage="1" showErrorMessage="1" errorTitle="ERROR" error="請選擇所修讀的選修科目" sqref="B16" xr:uid="{8AD60543-62F7-47AC-83F8-CBBAFCD33713}">
      <formula1>第二選修科</formula1>
    </dataValidation>
    <dataValidation type="list" allowBlank="1" showInputMessage="1" showErrorMessage="1" sqref="B18" xr:uid="{5270310A-0B26-4C6F-BB42-E49AEE790922}">
      <formula1>第四選修科</formula1>
    </dataValidation>
    <dataValidation type="list" allowBlank="1" showInputMessage="1" showErrorMessage="1" sqref="B19" xr:uid="{93ED2E31-0534-4BC9-AD2C-2A9CA9378117}">
      <formula1>丙類選修科</formula1>
    </dataValidation>
    <dataValidation type="list" allowBlank="1" showInputMessage="1" showErrorMessage="1" sqref="C8:C12 C15:C18" xr:uid="{2531CA64-0069-4F5F-A4E5-93FED6B278A4}">
      <formula1>等級</formula1>
    </dataValidation>
    <dataValidation type="list" allowBlank="1" showInputMessage="1" showErrorMessage="1" sqref="C19" xr:uid="{94176C86-3BFB-48C8-9FEE-816A1AFF24A7}">
      <formula1>丙類科目等級</formula1>
    </dataValidation>
  </dataValidations>
  <hyperlinks>
    <hyperlink ref="E22" r:id="rId1" xr:uid="{05B6CE38-8C91-46A7-88AF-D1E545246CBF}"/>
    <hyperlink ref="C24" r:id="rId2" xr:uid="{BEBD8F27-7A59-4CE5-858B-4B5FEEFA0759}"/>
  </hyperlinks>
  <pageMargins left="0.7" right="0.7" top="0.75" bottom="0.75" header="0.3" footer="0.3"/>
  <pageSetup paperSize="9" orientation="portrait" horizontalDpi="1200" verticalDpi="1200" r:id="rId3"/>
  <drawing r:id="rId4"/>
  <legacyDrawing r:id="rId5"/>
  <mc:AlternateContent xmlns:mc="http://schemas.openxmlformats.org/markup-compatibility/2006">
    <mc:Choice Requires="x14">
      <controls>
        <mc:AlternateContent xmlns:mc="http://schemas.openxmlformats.org/markup-compatibility/2006">
          <mc:Choice Requires="x14">
            <control shapeId="1046" r:id="rId6" name="Check Box 22">
              <controlPr defaultSize="0" autoFill="0" autoLine="0" autoPict="0">
                <anchor moveWithCells="1">
                  <from>
                    <xdr:col>6</xdr:col>
                    <xdr:colOff>104775</xdr:colOff>
                    <xdr:row>3</xdr:row>
                    <xdr:rowOff>180975</xdr:rowOff>
                  </from>
                  <to>
                    <xdr:col>7</xdr:col>
                    <xdr:colOff>219075</xdr:colOff>
                    <xdr:row>5</xdr:row>
                    <xdr:rowOff>19050</xdr:rowOff>
                  </to>
                </anchor>
              </controlPr>
            </control>
          </mc:Choice>
        </mc:AlternateContent>
        <mc:AlternateContent xmlns:mc="http://schemas.openxmlformats.org/markup-compatibility/2006">
          <mc:Choice Requires="x14">
            <control shapeId="1054" r:id="rId7" name="Check Box 30">
              <controlPr defaultSize="0" autoFill="0" autoLine="0" autoPict="0">
                <anchor moveWithCells="1">
                  <from>
                    <xdr:col>2</xdr:col>
                    <xdr:colOff>238125</xdr:colOff>
                    <xdr:row>3</xdr:row>
                    <xdr:rowOff>152400</xdr:rowOff>
                  </from>
                  <to>
                    <xdr:col>3</xdr:col>
                    <xdr:colOff>57150</xdr:colOff>
                    <xdr:row>5</xdr:row>
                    <xdr:rowOff>0</xdr:rowOff>
                  </to>
                </anchor>
              </controlPr>
            </control>
          </mc:Choice>
        </mc:AlternateContent>
        <mc:AlternateContent xmlns:mc="http://schemas.openxmlformats.org/markup-compatibility/2006">
          <mc:Choice Requires="x14">
            <control shapeId="1056" r:id="rId8" name="Check Box 32">
              <controlPr defaultSize="0" autoFill="0" autoLine="0" autoPict="0">
                <anchor moveWithCells="1">
                  <from>
                    <xdr:col>11</xdr:col>
                    <xdr:colOff>266700</xdr:colOff>
                    <xdr:row>11</xdr:row>
                    <xdr:rowOff>104775</xdr:rowOff>
                  </from>
                  <to>
                    <xdr:col>13</xdr:col>
                    <xdr:colOff>447675</xdr:colOff>
                    <xdr:row>12</xdr:row>
                    <xdr:rowOff>152400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id="{6CAD0F26-2001-4988-9531-0167F18DAF91}">
            <xm:f>計分版!$I$16=FALSE</xm:f>
            <x14:dxf>
              <font>
                <color theme="8" tint="0.59996337778862885"/>
              </font>
              <fill>
                <patternFill>
                  <bgColor theme="8" tint="0.59996337778862885"/>
                </patternFill>
              </fill>
            </x14:dxf>
          </x14:cfRule>
          <xm:sqref>D7:D19</xm:sqref>
        </x14:conditionalFormatting>
        <x14:conditionalFormatting xmlns:xm="http://schemas.microsoft.com/office/excel/2006/main">
          <x14:cfRule type="expression" priority="1" id="{14C6DFB2-997D-4E2B-A554-28B260EC6BE6}">
            <xm:f>'A123'!$A$1=TRUE</xm:f>
            <x14:dxf>
              <numFmt numFmtId="181" formatCode="0.0%"/>
            </x14:dxf>
          </x14:cfRule>
          <xm:sqref>J16:L16 J18:L18 J20:L20</xm:sqref>
        </x14:conditionalFormatting>
      </x14:conditionalFormattings>
    </ext>
    <ext xmlns:x14="http://schemas.microsoft.com/office/spreadsheetml/2009/9/main" uri="{CCE6A557-97BC-4b89-ADB6-D9C93CAAB3DF}">
      <x14:dataValidations xmlns:xm="http://schemas.microsoft.com/office/excel/2006/main" xWindow="600" yWindow="521" count="1">
        <x14:dataValidation type="list" allowBlank="1" showInputMessage="1" showErrorMessage="1" errorTitle="ERROR" error="請選擇所修讀的選修科目" xr:uid="{3BA310E3-9D7E-43D0-8052-B9F1D94C5B92}">
          <x14:formula1>
            <xm:f>選單!$D$2:$D$25</xm:f>
          </x14:formula1>
          <xm:sqref>B17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8440-B035-4BF1-9D4A-D2AC00CCB8F3}">
  <dimension ref="A1:XFC128"/>
  <sheetViews>
    <sheetView zoomScaleNormal="100" workbookViewId="0">
      <pane ySplit="1" topLeftCell="A8" activePane="bottomLeft" state="frozen"/>
      <selection activeCell="C1" sqref="C1"/>
      <selection pane="bottomLeft" activeCell="K15" sqref="K15"/>
    </sheetView>
  </sheetViews>
  <sheetFormatPr defaultColWidth="0" defaultRowHeight="16.5" zeroHeight="1"/>
  <cols>
    <col min="1" max="1" width="7" style="20" customWidth="1"/>
    <col min="2" max="2" width="8.625" style="20" customWidth="1"/>
    <col min="3" max="3" width="22.5" style="20" customWidth="1"/>
    <col min="4" max="4" width="4.25" style="20" hidden="1" customWidth="1"/>
    <col min="5" max="5" width="7.25" style="18" customWidth="1"/>
    <col min="6" max="6" width="4.875" style="32" customWidth="1"/>
    <col min="7" max="7" width="6.875" style="32" customWidth="1"/>
    <col min="8" max="8" width="4.625" style="32" customWidth="1"/>
    <col min="9" max="9" width="6.875" style="32" customWidth="1"/>
    <col min="10" max="10" width="7.625" style="54" customWidth="1"/>
    <col min="11" max="11" width="8.375" style="55" customWidth="1"/>
    <col min="12" max="12" width="5" style="46" customWidth="1"/>
    <col min="13" max="13" width="4.5" style="53" hidden="1" customWidth="1"/>
    <col min="14" max="14" width="4" style="20" customWidth="1"/>
    <col min="15" max="15" width="8.75" style="32" customWidth="1"/>
    <col min="16" max="21" width="2.75" style="46" customWidth="1"/>
    <col min="22" max="22" width="7.125" style="32" customWidth="1"/>
    <col min="23" max="23" width="9" style="49" customWidth="1"/>
    <col min="24" max="24" width="9" style="20" customWidth="1"/>
    <col min="25" max="25" width="20.75" style="20" customWidth="1"/>
    <col min="26" max="26" width="0" style="20" hidden="1" customWidth="1"/>
    <col min="27" max="30" width="9" style="20" customWidth="1"/>
    <col min="31" max="16383" width="9" style="20" hidden="1"/>
    <col min="16384" max="16384" width="4.875" style="20" hidden="1"/>
  </cols>
  <sheetData>
    <row r="1" spans="1:23" s="78" customFormat="1" ht="18" customHeight="1">
      <c r="A1" s="78" t="s">
        <v>228</v>
      </c>
      <c r="B1" s="78" t="s">
        <v>325</v>
      </c>
      <c r="C1" s="78" t="s">
        <v>400</v>
      </c>
      <c r="E1" s="78" t="s">
        <v>229</v>
      </c>
      <c r="F1" s="206" t="s">
        <v>403</v>
      </c>
      <c r="G1" s="206" t="s">
        <v>327</v>
      </c>
      <c r="H1" s="206" t="s">
        <v>328</v>
      </c>
      <c r="I1" s="206" t="s">
        <v>230</v>
      </c>
      <c r="J1" s="318" t="s">
        <v>888</v>
      </c>
      <c r="K1" s="318"/>
      <c r="L1" s="206" t="s">
        <v>394</v>
      </c>
      <c r="M1" s="79" t="s">
        <v>436</v>
      </c>
      <c r="N1" s="78" t="s">
        <v>414</v>
      </c>
      <c r="O1" s="206" t="s">
        <v>415</v>
      </c>
      <c r="P1" s="206" t="s">
        <v>405</v>
      </c>
      <c r="Q1" s="206" t="s">
        <v>406</v>
      </c>
      <c r="R1" s="206" t="s">
        <v>407</v>
      </c>
      <c r="S1" s="206" t="s">
        <v>408</v>
      </c>
      <c r="T1" s="206" t="s">
        <v>409</v>
      </c>
      <c r="U1" s="206" t="s">
        <v>410</v>
      </c>
      <c r="V1" s="206" t="s">
        <v>401</v>
      </c>
    </row>
    <row r="2" spans="1:23" s="89" customFormat="1" ht="18" customHeight="1">
      <c r="A2" s="80" t="s">
        <v>231</v>
      </c>
      <c r="B2" s="80" t="s">
        <v>418</v>
      </c>
      <c r="C2" s="80" t="s">
        <v>232</v>
      </c>
      <c r="D2" s="80" t="s">
        <v>330</v>
      </c>
      <c r="E2" s="80" t="s">
        <v>427</v>
      </c>
      <c r="F2" s="81">
        <v>34</v>
      </c>
      <c r="G2" s="81">
        <v>32</v>
      </c>
      <c r="H2" s="81">
        <v>31</v>
      </c>
      <c r="I2" s="234">
        <f>計分版!D21</f>
        <v>3.9500000000000006E-9</v>
      </c>
      <c r="J2" s="83">
        <f t="shared" ref="J2:J22" si="0">IF(J$1="差距(Median)",I2-G2,IF(J$1="差距(UQ)",I2-F2,IF(J$1="差距(LQ)",I2-H2)))</f>
        <v>-30.999999996050001</v>
      </c>
      <c r="K2" s="84">
        <f t="shared" ref="K2:K22" si="1">IF(J$1="差距(Median)",(I2-G2)/I2,IF(J$1="差距(UQ)",(I2-F2)/I2,IF(J$1="差距(LQ)",(I2-H2)/I2)))</f>
        <v>-7848101264.8227835</v>
      </c>
      <c r="L2" s="82">
        <v>53</v>
      </c>
      <c r="M2" s="85"/>
      <c r="N2" s="86">
        <f>入學要求!S3</f>
        <v>0</v>
      </c>
      <c r="O2" s="87" t="s">
        <v>417</v>
      </c>
      <c r="P2" s="88">
        <v>3</v>
      </c>
      <c r="Q2" s="88">
        <v>3</v>
      </c>
      <c r="R2" s="88">
        <v>2</v>
      </c>
      <c r="S2" s="88">
        <v>2</v>
      </c>
      <c r="T2" s="88">
        <v>3</v>
      </c>
      <c r="U2" s="88">
        <v>3</v>
      </c>
      <c r="V2" s="88"/>
      <c r="W2" s="98" t="s">
        <v>848</v>
      </c>
    </row>
    <row r="3" spans="1:23" ht="18" customHeight="1">
      <c r="A3" s="19" t="s">
        <v>233</v>
      </c>
      <c r="B3" s="19" t="s">
        <v>418</v>
      </c>
      <c r="C3" s="19" t="s">
        <v>234</v>
      </c>
      <c r="D3" s="19" t="s">
        <v>331</v>
      </c>
      <c r="E3" s="38" t="s">
        <v>82</v>
      </c>
      <c r="F3" s="21">
        <v>34</v>
      </c>
      <c r="G3" s="21">
        <v>32</v>
      </c>
      <c r="H3" s="21">
        <v>32</v>
      </c>
      <c r="I3" s="230">
        <f>計分版!D22</f>
        <v>3.3999999999999998E-9</v>
      </c>
      <c r="J3" s="91">
        <f t="shared" si="0"/>
        <v>-31.9999999966</v>
      </c>
      <c r="K3" s="92">
        <f t="shared" si="1"/>
        <v>-9411764704.8823528</v>
      </c>
      <c r="L3" s="207">
        <v>31</v>
      </c>
      <c r="M3" s="93"/>
      <c r="N3" s="24">
        <f>入學要求!S4</f>
        <v>0</v>
      </c>
      <c r="O3" s="205" t="s">
        <v>416</v>
      </c>
      <c r="P3" s="205">
        <v>3</v>
      </c>
      <c r="Q3" s="205">
        <v>3</v>
      </c>
      <c r="R3" s="205">
        <v>2</v>
      </c>
      <c r="S3" s="205">
        <v>2</v>
      </c>
      <c r="T3" s="205">
        <v>3</v>
      </c>
      <c r="U3" s="205">
        <v>3</v>
      </c>
      <c r="V3" s="205"/>
      <c r="W3" s="64" t="s">
        <v>849</v>
      </c>
    </row>
    <row r="4" spans="1:23" s="89" customFormat="1" ht="18" customHeight="1">
      <c r="A4" s="80" t="s">
        <v>235</v>
      </c>
      <c r="B4" s="80" t="s">
        <v>418</v>
      </c>
      <c r="C4" s="80" t="s">
        <v>236</v>
      </c>
      <c r="D4" s="80" t="s">
        <v>332</v>
      </c>
      <c r="E4" s="80" t="s">
        <v>214</v>
      </c>
      <c r="F4" s="81">
        <v>34</v>
      </c>
      <c r="G4" s="81">
        <v>32</v>
      </c>
      <c r="H4" s="81">
        <v>31</v>
      </c>
      <c r="I4" s="234">
        <f>計分版!D23</f>
        <v>3.3999999999999998E-9</v>
      </c>
      <c r="J4" s="83">
        <f t="shared" si="0"/>
        <v>-30.9999999966</v>
      </c>
      <c r="K4" s="84">
        <f t="shared" si="1"/>
        <v>-9117647057.8235302</v>
      </c>
      <c r="L4" s="82">
        <v>12</v>
      </c>
      <c r="M4" s="85"/>
      <c r="N4" s="86">
        <f>入學要求!S5</f>
        <v>0</v>
      </c>
      <c r="O4" s="87" t="s">
        <v>417</v>
      </c>
      <c r="P4" s="88">
        <v>3</v>
      </c>
      <c r="Q4" s="88">
        <v>3</v>
      </c>
      <c r="R4" s="88">
        <v>2</v>
      </c>
      <c r="S4" s="88">
        <v>2</v>
      </c>
      <c r="T4" s="88">
        <v>3</v>
      </c>
      <c r="U4" s="88">
        <v>3</v>
      </c>
      <c r="V4" s="88"/>
      <c r="W4" s="98" t="s">
        <v>848</v>
      </c>
    </row>
    <row r="5" spans="1:23" ht="18" customHeight="1">
      <c r="A5" s="19" t="s">
        <v>237</v>
      </c>
      <c r="B5" s="19" t="s">
        <v>418</v>
      </c>
      <c r="C5" s="19" t="s">
        <v>238</v>
      </c>
      <c r="D5" s="19" t="s">
        <v>333</v>
      </c>
      <c r="E5" s="38" t="s">
        <v>214</v>
      </c>
      <c r="F5" s="21">
        <v>28</v>
      </c>
      <c r="G5" s="21">
        <v>26</v>
      </c>
      <c r="H5" s="21">
        <v>26</v>
      </c>
      <c r="I5" s="230">
        <f>計分版!D24</f>
        <v>3.3999999999999998E-9</v>
      </c>
      <c r="J5" s="91">
        <f t="shared" si="0"/>
        <v>-25.9999999966</v>
      </c>
      <c r="K5" s="92">
        <f t="shared" si="1"/>
        <v>-7647058822.5294123</v>
      </c>
      <c r="L5" s="207">
        <v>12</v>
      </c>
      <c r="M5" s="93"/>
      <c r="N5" s="24">
        <f>入學要求!S6</f>
        <v>0</v>
      </c>
      <c r="O5" s="94" t="s">
        <v>417</v>
      </c>
      <c r="P5" s="205">
        <v>3</v>
      </c>
      <c r="Q5" s="205">
        <v>3</v>
      </c>
      <c r="R5" s="205">
        <v>2</v>
      </c>
      <c r="S5" s="205">
        <v>2</v>
      </c>
      <c r="T5" s="205">
        <v>3</v>
      </c>
      <c r="U5" s="205">
        <v>3</v>
      </c>
      <c r="V5" s="205"/>
      <c r="W5" s="64" t="s">
        <v>850</v>
      </c>
    </row>
    <row r="6" spans="1:23" s="89" customFormat="1" ht="18" customHeight="1">
      <c r="A6" s="80" t="s">
        <v>239</v>
      </c>
      <c r="B6" s="80" t="s">
        <v>418</v>
      </c>
      <c r="C6" s="80" t="s">
        <v>240</v>
      </c>
      <c r="D6" s="80" t="s">
        <v>334</v>
      </c>
      <c r="E6" s="80" t="s">
        <v>214</v>
      </c>
      <c r="F6" s="81">
        <v>30</v>
      </c>
      <c r="G6" s="81">
        <v>28</v>
      </c>
      <c r="H6" s="81">
        <v>28</v>
      </c>
      <c r="I6" s="234">
        <f>計分版!D25</f>
        <v>3.3999999999999998E-9</v>
      </c>
      <c r="J6" s="83">
        <f t="shared" si="0"/>
        <v>-27.9999999966</v>
      </c>
      <c r="K6" s="84">
        <f t="shared" si="1"/>
        <v>-8235294116.6470594</v>
      </c>
      <c r="L6" s="82">
        <v>17</v>
      </c>
      <c r="M6" s="85"/>
      <c r="N6" s="86">
        <f>入學要求!S7</f>
        <v>0</v>
      </c>
      <c r="O6" s="87" t="s">
        <v>417</v>
      </c>
      <c r="P6" s="88">
        <v>3</v>
      </c>
      <c r="Q6" s="88">
        <v>3</v>
      </c>
      <c r="R6" s="88">
        <v>2</v>
      </c>
      <c r="S6" s="88">
        <v>2</v>
      </c>
      <c r="T6" s="88">
        <v>3</v>
      </c>
      <c r="U6" s="88">
        <v>3</v>
      </c>
      <c r="V6" s="88"/>
      <c r="W6" s="98" t="s">
        <v>850</v>
      </c>
    </row>
    <row r="7" spans="1:23" ht="18" customHeight="1">
      <c r="A7" s="19" t="s">
        <v>241</v>
      </c>
      <c r="B7" s="19" t="s">
        <v>314</v>
      </c>
      <c r="C7" s="19" t="s">
        <v>242</v>
      </c>
      <c r="D7" s="19" t="s">
        <v>335</v>
      </c>
      <c r="E7" s="38" t="s">
        <v>214</v>
      </c>
      <c r="F7" s="21">
        <v>28</v>
      </c>
      <c r="G7" s="21">
        <v>26</v>
      </c>
      <c r="H7" s="21">
        <v>26</v>
      </c>
      <c r="I7" s="230">
        <f>計分版!D26</f>
        <v>3.2000000000000001E-9</v>
      </c>
      <c r="J7" s="91">
        <f t="shared" si="0"/>
        <v>-25.9999999968</v>
      </c>
      <c r="K7" s="92">
        <f t="shared" si="1"/>
        <v>-8124999999</v>
      </c>
      <c r="L7" s="207">
        <v>347</v>
      </c>
      <c r="M7" s="93"/>
      <c r="N7" s="24">
        <f>入學要求!S8</f>
        <v>0</v>
      </c>
      <c r="O7" s="205" t="s">
        <v>416</v>
      </c>
      <c r="P7" s="205">
        <v>3</v>
      </c>
      <c r="Q7" s="205">
        <v>3</v>
      </c>
      <c r="R7" s="205">
        <v>2</v>
      </c>
      <c r="S7" s="205">
        <v>2</v>
      </c>
      <c r="T7" s="205">
        <v>3</v>
      </c>
      <c r="U7" s="205">
        <v>3</v>
      </c>
      <c r="V7" s="205"/>
      <c r="W7" s="64" t="s">
        <v>848</v>
      </c>
    </row>
    <row r="8" spans="1:23" s="89" customFormat="1" ht="18" customHeight="1">
      <c r="A8" s="80" t="s">
        <v>284</v>
      </c>
      <c r="B8" s="80" t="s">
        <v>419</v>
      </c>
      <c r="C8" s="80" t="s">
        <v>285</v>
      </c>
      <c r="D8" s="80" t="s">
        <v>357</v>
      </c>
      <c r="E8" s="80" t="s">
        <v>80</v>
      </c>
      <c r="F8" s="81">
        <v>35</v>
      </c>
      <c r="G8" s="81">
        <v>33</v>
      </c>
      <c r="H8" s="81">
        <v>32</v>
      </c>
      <c r="I8" s="234">
        <f>計分版!D27</f>
        <v>3.5000000000000003E-9</v>
      </c>
      <c r="J8" s="83">
        <f t="shared" si="0"/>
        <v>-31.999999996500001</v>
      </c>
      <c r="K8" s="84">
        <f t="shared" si="1"/>
        <v>-9142857141.8571415</v>
      </c>
      <c r="L8" s="316">
        <v>282</v>
      </c>
      <c r="M8" s="85"/>
      <c r="N8" s="86">
        <f>入學要求!S9</f>
        <v>0</v>
      </c>
      <c r="O8" s="88" t="s">
        <v>417</v>
      </c>
      <c r="P8" s="88">
        <v>3</v>
      </c>
      <c r="Q8" s="88">
        <v>4</v>
      </c>
      <c r="R8" s="88">
        <v>3</v>
      </c>
      <c r="S8" s="88">
        <v>2</v>
      </c>
      <c r="T8" s="88">
        <v>3</v>
      </c>
      <c r="U8" s="88">
        <v>3</v>
      </c>
      <c r="V8" s="88"/>
      <c r="W8" s="98" t="s">
        <v>851</v>
      </c>
    </row>
    <row r="9" spans="1:23" ht="18" customHeight="1">
      <c r="A9" s="19" t="s">
        <v>286</v>
      </c>
      <c r="B9" s="19" t="s">
        <v>419</v>
      </c>
      <c r="C9" s="19" t="s">
        <v>287</v>
      </c>
      <c r="D9" s="19" t="s">
        <v>358</v>
      </c>
      <c r="E9" s="38" t="s">
        <v>428</v>
      </c>
      <c r="F9" s="21">
        <v>35</v>
      </c>
      <c r="G9" s="21">
        <v>33</v>
      </c>
      <c r="H9" s="21">
        <v>32</v>
      </c>
      <c r="I9" s="230">
        <f>計分版!D28</f>
        <v>2.7000000000000002E-9</v>
      </c>
      <c r="J9" s="91">
        <f t="shared" si="0"/>
        <v>-31.999999997300002</v>
      </c>
      <c r="K9" s="92">
        <f t="shared" si="1"/>
        <v>-11851851850.851852</v>
      </c>
      <c r="L9" s="316"/>
      <c r="M9" s="93"/>
      <c r="N9" s="24">
        <f>入學要求!S10</f>
        <v>0</v>
      </c>
      <c r="O9" s="205" t="s">
        <v>417</v>
      </c>
      <c r="P9" s="205">
        <v>3</v>
      </c>
      <c r="Q9" s="205">
        <v>4</v>
      </c>
      <c r="R9" s="205">
        <v>3</v>
      </c>
      <c r="S9" s="205">
        <v>2</v>
      </c>
      <c r="T9" s="205">
        <v>3</v>
      </c>
      <c r="U9" s="205">
        <v>3</v>
      </c>
      <c r="V9" s="205"/>
      <c r="W9" s="64" t="s">
        <v>851</v>
      </c>
    </row>
    <row r="10" spans="1:23" s="89" customFormat="1" ht="18" customHeight="1">
      <c r="A10" s="80" t="s">
        <v>296</v>
      </c>
      <c r="B10" s="80" t="s">
        <v>419</v>
      </c>
      <c r="C10" s="80" t="s">
        <v>297</v>
      </c>
      <c r="D10" s="80" t="s">
        <v>363</v>
      </c>
      <c r="E10" s="80" t="s">
        <v>428</v>
      </c>
      <c r="F10" s="81">
        <v>39</v>
      </c>
      <c r="G10" s="81">
        <v>38</v>
      </c>
      <c r="H10" s="81">
        <v>38</v>
      </c>
      <c r="I10" s="234">
        <f>計分版!D31</f>
        <v>3.5000000000000003E-9</v>
      </c>
      <c r="J10" s="83">
        <f t="shared" si="0"/>
        <v>-37.999999996500001</v>
      </c>
      <c r="K10" s="84">
        <f t="shared" si="1"/>
        <v>-10857142856.142857</v>
      </c>
      <c r="L10" s="316"/>
      <c r="M10" s="85">
        <v>18</v>
      </c>
      <c r="N10" s="86">
        <f>入學要求!S11</f>
        <v>0</v>
      </c>
      <c r="O10" s="88" t="s">
        <v>417</v>
      </c>
      <c r="P10" s="88">
        <v>3</v>
      </c>
      <c r="Q10" s="88">
        <v>4</v>
      </c>
      <c r="R10" s="88">
        <v>3</v>
      </c>
      <c r="S10" s="88">
        <v>2</v>
      </c>
      <c r="T10" s="88">
        <v>3</v>
      </c>
      <c r="U10" s="88">
        <v>3</v>
      </c>
      <c r="V10" s="88"/>
      <c r="W10" s="98" t="s">
        <v>851</v>
      </c>
    </row>
    <row r="11" spans="1:23" ht="18" customHeight="1">
      <c r="A11" s="19" t="s">
        <v>1539</v>
      </c>
      <c r="B11" s="19" t="s">
        <v>419</v>
      </c>
      <c r="C11" s="19" t="s">
        <v>289</v>
      </c>
      <c r="D11" s="19" t="s">
        <v>359</v>
      </c>
      <c r="E11" s="38" t="s">
        <v>428</v>
      </c>
      <c r="F11" s="21">
        <v>34</v>
      </c>
      <c r="G11" s="21">
        <v>33</v>
      </c>
      <c r="H11" s="21">
        <v>32</v>
      </c>
      <c r="I11" s="230">
        <f>計分版!D29</f>
        <v>2.7000000000000002E-9</v>
      </c>
      <c r="J11" s="91">
        <f t="shared" si="0"/>
        <v>-31.999999997300002</v>
      </c>
      <c r="K11" s="92">
        <f t="shared" si="1"/>
        <v>-11851851850.851852</v>
      </c>
      <c r="L11" s="207">
        <v>15</v>
      </c>
      <c r="M11" s="93"/>
      <c r="N11" s="24">
        <f>入學要求!S12</f>
        <v>0</v>
      </c>
      <c r="O11" s="205" t="s">
        <v>417</v>
      </c>
      <c r="P11" s="205">
        <v>3</v>
      </c>
      <c r="Q11" s="205">
        <v>4</v>
      </c>
      <c r="R11" s="205">
        <v>3</v>
      </c>
      <c r="S11" s="205">
        <v>2</v>
      </c>
      <c r="T11" s="205">
        <v>3</v>
      </c>
      <c r="U11" s="205">
        <v>3</v>
      </c>
      <c r="V11" s="205"/>
      <c r="W11" s="64" t="s">
        <v>851</v>
      </c>
    </row>
    <row r="12" spans="1:23" s="89" customFormat="1" ht="18" customHeight="1">
      <c r="A12" s="80" t="s">
        <v>290</v>
      </c>
      <c r="B12" s="80" t="s">
        <v>419</v>
      </c>
      <c r="C12" s="80" t="s">
        <v>291</v>
      </c>
      <c r="D12" s="80" t="s">
        <v>360</v>
      </c>
      <c r="E12" s="80" t="s">
        <v>80</v>
      </c>
      <c r="F12" s="81">
        <v>44</v>
      </c>
      <c r="G12" s="81">
        <v>41</v>
      </c>
      <c r="H12" s="81">
        <v>41</v>
      </c>
      <c r="I12" s="234">
        <f>計分版!D30</f>
        <v>2.7000000000000002E-9</v>
      </c>
      <c r="J12" s="83">
        <f t="shared" si="0"/>
        <v>-40.999999997300002</v>
      </c>
      <c r="K12" s="84">
        <f t="shared" si="1"/>
        <v>-15185185184.185184</v>
      </c>
      <c r="L12" s="82">
        <v>70</v>
      </c>
      <c r="M12" s="85"/>
      <c r="N12" s="86">
        <f>入學要求!S13</f>
        <v>0</v>
      </c>
      <c r="O12" s="88" t="s">
        <v>417</v>
      </c>
      <c r="P12" s="88">
        <v>4</v>
      </c>
      <c r="Q12" s="88">
        <v>5</v>
      </c>
      <c r="R12" s="88">
        <v>4</v>
      </c>
      <c r="S12" s="88">
        <v>2</v>
      </c>
      <c r="T12" s="88">
        <v>3</v>
      </c>
      <c r="U12" s="88">
        <v>3</v>
      </c>
      <c r="V12" s="88"/>
      <c r="W12" s="98" t="s">
        <v>851</v>
      </c>
    </row>
    <row r="13" spans="1:23" ht="18" customHeight="1">
      <c r="A13" s="19" t="s">
        <v>298</v>
      </c>
      <c r="B13" s="19" t="s">
        <v>419</v>
      </c>
      <c r="C13" s="19" t="s">
        <v>299</v>
      </c>
      <c r="D13" s="19" t="s">
        <v>364</v>
      </c>
      <c r="E13" s="38" t="s">
        <v>80</v>
      </c>
      <c r="F13" s="21">
        <v>41</v>
      </c>
      <c r="G13" s="21">
        <v>39</v>
      </c>
      <c r="H13" s="21">
        <v>38</v>
      </c>
      <c r="I13" s="230">
        <f>計分版!D32</f>
        <v>3.4000000000000003E-9</v>
      </c>
      <c r="J13" s="91">
        <f t="shared" si="0"/>
        <v>-37.999999996600003</v>
      </c>
      <c r="K13" s="92">
        <f t="shared" si="1"/>
        <v>-11176470587.235294</v>
      </c>
      <c r="L13" s="207">
        <v>25</v>
      </c>
      <c r="M13" s="93"/>
      <c r="N13" s="24">
        <f>入學要求!S14</f>
        <v>0</v>
      </c>
      <c r="O13" s="205" t="s">
        <v>417</v>
      </c>
      <c r="P13" s="205">
        <v>3</v>
      </c>
      <c r="Q13" s="205">
        <v>4</v>
      </c>
      <c r="R13" s="205">
        <v>3</v>
      </c>
      <c r="S13" s="205">
        <v>2</v>
      </c>
      <c r="T13" s="205">
        <v>3</v>
      </c>
      <c r="U13" s="205">
        <v>3</v>
      </c>
      <c r="V13" s="205"/>
      <c r="W13" s="64" t="s">
        <v>851</v>
      </c>
    </row>
    <row r="14" spans="1:23" s="89" customFormat="1" ht="18" customHeight="1">
      <c r="A14" s="80" t="s">
        <v>300</v>
      </c>
      <c r="B14" s="80" t="s">
        <v>419</v>
      </c>
      <c r="C14" s="80" t="s">
        <v>301</v>
      </c>
      <c r="D14" s="80" t="s">
        <v>365</v>
      </c>
      <c r="E14" s="80" t="s">
        <v>220</v>
      </c>
      <c r="F14" s="81">
        <v>45</v>
      </c>
      <c r="G14" s="81">
        <v>45</v>
      </c>
      <c r="H14" s="81">
        <v>45</v>
      </c>
      <c r="I14" s="234">
        <f>計分版!D33</f>
        <v>2.7000000000000002E-9</v>
      </c>
      <c r="J14" s="83">
        <f t="shared" si="0"/>
        <v>-44.999999997300002</v>
      </c>
      <c r="K14" s="84">
        <f t="shared" si="1"/>
        <v>-16666666665.666666</v>
      </c>
      <c r="L14" s="82">
        <v>31</v>
      </c>
      <c r="M14" s="85"/>
      <c r="N14" s="86">
        <f>入學要求!S15</f>
        <v>0</v>
      </c>
      <c r="O14" s="88" t="s">
        <v>417</v>
      </c>
      <c r="P14" s="88">
        <v>3</v>
      </c>
      <c r="Q14" s="88">
        <v>5</v>
      </c>
      <c r="R14" s="88">
        <v>4</v>
      </c>
      <c r="S14" s="88">
        <v>2</v>
      </c>
      <c r="T14" s="88">
        <v>3</v>
      </c>
      <c r="U14" s="88">
        <v>3</v>
      </c>
      <c r="V14" s="88"/>
      <c r="W14" s="98" t="s">
        <v>851</v>
      </c>
    </row>
    <row r="15" spans="1:23" ht="18" customHeight="1">
      <c r="A15" s="19" t="s">
        <v>251</v>
      </c>
      <c r="B15" s="19" t="s">
        <v>1177</v>
      </c>
      <c r="C15" s="19" t="s">
        <v>252</v>
      </c>
      <c r="D15" s="19" t="s">
        <v>340</v>
      </c>
      <c r="E15" s="19" t="s">
        <v>80</v>
      </c>
      <c r="F15" s="21">
        <v>47</v>
      </c>
      <c r="G15" s="21">
        <v>44</v>
      </c>
      <c r="H15" s="21">
        <v>42</v>
      </c>
      <c r="I15" s="230">
        <f>計分版!D35</f>
        <v>3.3999999999999998E-9</v>
      </c>
      <c r="J15" s="91">
        <f t="shared" si="0"/>
        <v>-41.999999996600003</v>
      </c>
      <c r="K15" s="92">
        <f t="shared" si="1"/>
        <v>-12352941175.470591</v>
      </c>
      <c r="L15" s="238">
        <v>80</v>
      </c>
      <c r="M15" s="93"/>
      <c r="N15" s="24">
        <f>入學要求!S16</f>
        <v>0</v>
      </c>
      <c r="O15" s="237" t="s">
        <v>964</v>
      </c>
      <c r="P15" s="237">
        <v>3</v>
      </c>
      <c r="Q15" s="237">
        <v>4</v>
      </c>
      <c r="R15" s="237">
        <v>3</v>
      </c>
      <c r="S15" s="237">
        <v>3</v>
      </c>
      <c r="T15" s="237">
        <v>3</v>
      </c>
      <c r="U15" s="237">
        <v>3</v>
      </c>
      <c r="V15" s="95">
        <v>0.1</v>
      </c>
      <c r="W15" s="64" t="s">
        <v>849</v>
      </c>
    </row>
    <row r="16" spans="1:23" s="89" customFormat="1" ht="18" customHeight="1">
      <c r="A16" s="80" t="s">
        <v>243</v>
      </c>
      <c r="B16" s="80" t="s">
        <v>420</v>
      </c>
      <c r="C16" s="80" t="s">
        <v>244</v>
      </c>
      <c r="D16" s="80" t="s">
        <v>336</v>
      </c>
      <c r="E16" s="80" t="s">
        <v>214</v>
      </c>
      <c r="F16" s="81">
        <v>28</v>
      </c>
      <c r="G16" s="81">
        <v>26</v>
      </c>
      <c r="H16" s="81">
        <v>25</v>
      </c>
      <c r="I16" s="234">
        <f>計分版!D36</f>
        <v>3E-9</v>
      </c>
      <c r="J16" s="83">
        <f t="shared" si="0"/>
        <v>-24.999999997</v>
      </c>
      <c r="K16" s="84">
        <f t="shared" si="1"/>
        <v>-8333333332.333333</v>
      </c>
      <c r="L16" s="82">
        <v>26</v>
      </c>
      <c r="M16" s="85"/>
      <c r="N16" s="86">
        <f>入學要求!S17</f>
        <v>0</v>
      </c>
      <c r="O16" s="88" t="s">
        <v>417</v>
      </c>
      <c r="P16" s="88">
        <v>3</v>
      </c>
      <c r="Q16" s="88">
        <v>3</v>
      </c>
      <c r="R16" s="88">
        <v>2</v>
      </c>
      <c r="S16" s="88">
        <v>2</v>
      </c>
      <c r="T16" s="88">
        <v>3</v>
      </c>
      <c r="U16" s="88">
        <v>3</v>
      </c>
      <c r="V16" s="88"/>
      <c r="W16" s="98" t="s">
        <v>848</v>
      </c>
    </row>
    <row r="17" spans="1:23" ht="18" customHeight="1">
      <c r="A17" s="19" t="s">
        <v>247</v>
      </c>
      <c r="B17" s="19" t="s">
        <v>420</v>
      </c>
      <c r="C17" s="19" t="s">
        <v>248</v>
      </c>
      <c r="D17" s="19" t="s">
        <v>338</v>
      </c>
      <c r="E17" s="19" t="s">
        <v>214</v>
      </c>
      <c r="F17" s="21">
        <v>29</v>
      </c>
      <c r="G17" s="21">
        <v>28</v>
      </c>
      <c r="H17" s="21">
        <v>28</v>
      </c>
      <c r="I17" s="230">
        <f>計分版!D37</f>
        <v>2.9000000000000003E-9</v>
      </c>
      <c r="J17" s="91">
        <f t="shared" si="0"/>
        <v>-27.999999997100002</v>
      </c>
      <c r="K17" s="92">
        <f t="shared" si="1"/>
        <v>-9655172412.7931023</v>
      </c>
      <c r="L17" s="238">
        <v>23</v>
      </c>
      <c r="M17" s="93"/>
      <c r="N17" s="24">
        <f>入學要求!S18</f>
        <v>0</v>
      </c>
      <c r="O17" s="237" t="s">
        <v>417</v>
      </c>
      <c r="P17" s="237">
        <v>3</v>
      </c>
      <c r="Q17" s="237">
        <v>3</v>
      </c>
      <c r="R17" s="237">
        <v>2</v>
      </c>
      <c r="S17" s="237">
        <v>2</v>
      </c>
      <c r="T17" s="237">
        <v>3</v>
      </c>
      <c r="U17" s="237">
        <v>3</v>
      </c>
      <c r="V17" s="237"/>
      <c r="W17" s="64" t="s">
        <v>848</v>
      </c>
    </row>
    <row r="18" spans="1:23" s="89" customFormat="1" ht="18" customHeight="1">
      <c r="A18" s="80" t="s">
        <v>249</v>
      </c>
      <c r="B18" s="80" t="s">
        <v>420</v>
      </c>
      <c r="C18" s="80" t="s">
        <v>250</v>
      </c>
      <c r="D18" s="80" t="s">
        <v>339</v>
      </c>
      <c r="E18" s="80" t="s">
        <v>214</v>
      </c>
      <c r="F18" s="81">
        <v>27</v>
      </c>
      <c r="G18" s="81">
        <v>23</v>
      </c>
      <c r="H18" s="81">
        <v>23</v>
      </c>
      <c r="I18" s="234">
        <f>計分版!D38</f>
        <v>2.7000000000000002E-9</v>
      </c>
      <c r="J18" s="83">
        <f t="shared" si="0"/>
        <v>-22.999999997300002</v>
      </c>
      <c r="K18" s="84">
        <f t="shared" si="1"/>
        <v>-8518518517.5185184</v>
      </c>
      <c r="L18" s="82">
        <v>18</v>
      </c>
      <c r="M18" s="85"/>
      <c r="N18" s="86">
        <f>入學要求!S19</f>
        <v>0</v>
      </c>
      <c r="O18" s="88" t="s">
        <v>417</v>
      </c>
      <c r="P18" s="88">
        <v>3</v>
      </c>
      <c r="Q18" s="88">
        <v>3</v>
      </c>
      <c r="R18" s="88">
        <v>2</v>
      </c>
      <c r="S18" s="88">
        <v>2</v>
      </c>
      <c r="T18" s="88">
        <v>3</v>
      </c>
      <c r="U18" s="88">
        <v>3</v>
      </c>
      <c r="V18" s="88"/>
      <c r="W18" s="98" t="s">
        <v>848</v>
      </c>
    </row>
    <row r="19" spans="1:23" ht="18" customHeight="1">
      <c r="A19" s="19" t="s">
        <v>253</v>
      </c>
      <c r="B19" s="19" t="s">
        <v>420</v>
      </c>
      <c r="C19" s="19" t="s">
        <v>254</v>
      </c>
      <c r="D19" s="19" t="s">
        <v>341</v>
      </c>
      <c r="E19" s="19" t="s">
        <v>214</v>
      </c>
      <c r="F19" s="21">
        <v>32</v>
      </c>
      <c r="G19" s="21">
        <v>29</v>
      </c>
      <c r="H19" s="21">
        <v>28</v>
      </c>
      <c r="I19" s="230">
        <f>計分版!D39</f>
        <v>2.2000000000000003E-9</v>
      </c>
      <c r="J19" s="91">
        <f t="shared" si="0"/>
        <v>-27.9999999978</v>
      </c>
      <c r="K19" s="92">
        <f t="shared" si="1"/>
        <v>-12727272726.272726</v>
      </c>
      <c r="L19" s="238">
        <v>16</v>
      </c>
      <c r="M19" s="93"/>
      <c r="N19" s="24">
        <f>入學要求!S20</f>
        <v>0</v>
      </c>
      <c r="O19" s="237" t="s">
        <v>416</v>
      </c>
      <c r="P19" s="237">
        <v>3</v>
      </c>
      <c r="Q19" s="237">
        <v>3</v>
      </c>
      <c r="R19" s="237">
        <v>2</v>
      </c>
      <c r="S19" s="237">
        <v>2</v>
      </c>
      <c r="T19" s="237">
        <v>3</v>
      </c>
      <c r="U19" s="237">
        <v>3</v>
      </c>
      <c r="V19" s="237"/>
      <c r="W19" s="64" t="s">
        <v>849</v>
      </c>
    </row>
    <row r="20" spans="1:23" s="89" customFormat="1" ht="18" customHeight="1">
      <c r="A20" s="80" t="s">
        <v>255</v>
      </c>
      <c r="B20" s="80" t="s">
        <v>420</v>
      </c>
      <c r="C20" s="80" t="s">
        <v>256</v>
      </c>
      <c r="D20" s="80" t="s">
        <v>342</v>
      </c>
      <c r="E20" s="80" t="s">
        <v>80</v>
      </c>
      <c r="F20" s="81">
        <v>39</v>
      </c>
      <c r="G20" s="81">
        <v>38</v>
      </c>
      <c r="H20" s="81">
        <v>35</v>
      </c>
      <c r="I20" s="234">
        <f>計分版!D40</f>
        <v>3.7E-9</v>
      </c>
      <c r="J20" s="83">
        <f t="shared" si="0"/>
        <v>-34.999999996299998</v>
      </c>
      <c r="K20" s="84">
        <f t="shared" si="1"/>
        <v>-9459459458.4594593</v>
      </c>
      <c r="L20" s="82">
        <v>48</v>
      </c>
      <c r="M20" s="85"/>
      <c r="N20" s="86">
        <f>入學要求!S21</f>
        <v>0</v>
      </c>
      <c r="O20" s="88" t="s">
        <v>417</v>
      </c>
      <c r="P20" s="88">
        <v>3</v>
      </c>
      <c r="Q20" s="88">
        <v>3</v>
      </c>
      <c r="R20" s="88">
        <v>2</v>
      </c>
      <c r="S20" s="88">
        <v>2</v>
      </c>
      <c r="T20" s="88">
        <v>3</v>
      </c>
      <c r="U20" s="88">
        <v>3</v>
      </c>
      <c r="V20" s="88"/>
      <c r="W20" s="98" t="s">
        <v>848</v>
      </c>
    </row>
    <row r="21" spans="1:23" ht="18" customHeight="1">
      <c r="A21" s="19" t="s">
        <v>257</v>
      </c>
      <c r="B21" s="19" t="s">
        <v>420</v>
      </c>
      <c r="C21" s="19" t="s">
        <v>258</v>
      </c>
      <c r="D21" s="19" t="s">
        <v>343</v>
      </c>
      <c r="E21" s="19" t="s">
        <v>214</v>
      </c>
      <c r="F21" s="21">
        <v>31</v>
      </c>
      <c r="G21" s="21">
        <v>29</v>
      </c>
      <c r="H21" s="21">
        <v>28</v>
      </c>
      <c r="I21" s="230">
        <f>計分版!D41</f>
        <v>3.9500000000000006E-9</v>
      </c>
      <c r="J21" s="91">
        <f t="shared" si="0"/>
        <v>-27.999999996050001</v>
      </c>
      <c r="K21" s="92">
        <f t="shared" si="1"/>
        <v>-7088607593.9367075</v>
      </c>
      <c r="L21" s="238">
        <v>6</v>
      </c>
      <c r="M21" s="93"/>
      <c r="N21" s="24">
        <f>入學要求!S22</f>
        <v>0</v>
      </c>
      <c r="O21" s="237" t="s">
        <v>416</v>
      </c>
      <c r="P21" s="237">
        <v>3</v>
      </c>
      <c r="Q21" s="237">
        <v>3</v>
      </c>
      <c r="R21" s="237">
        <v>2</v>
      </c>
      <c r="S21" s="237">
        <v>2</v>
      </c>
      <c r="T21" s="237">
        <v>3</v>
      </c>
      <c r="U21" s="237">
        <v>3</v>
      </c>
      <c r="V21" s="237"/>
      <c r="W21" s="64" t="s">
        <v>849</v>
      </c>
    </row>
    <row r="22" spans="1:23" s="89" customFormat="1" ht="18" customHeight="1">
      <c r="A22" s="80" t="s">
        <v>304</v>
      </c>
      <c r="B22" s="80" t="s">
        <v>422</v>
      </c>
      <c r="C22" s="80" t="s">
        <v>305</v>
      </c>
      <c r="D22" s="80" t="s">
        <v>367</v>
      </c>
      <c r="E22" s="80" t="s">
        <v>214</v>
      </c>
      <c r="F22" s="81">
        <v>32</v>
      </c>
      <c r="G22" s="81">
        <v>31</v>
      </c>
      <c r="H22" s="81">
        <v>29</v>
      </c>
      <c r="I22" s="234">
        <f>計分版!D42</f>
        <v>3.1500000000000005E-9</v>
      </c>
      <c r="J22" s="83">
        <f t="shared" si="0"/>
        <v>-28.999999996850001</v>
      </c>
      <c r="K22" s="84">
        <f t="shared" si="1"/>
        <v>-9206349205.349205</v>
      </c>
      <c r="L22" s="82">
        <v>23</v>
      </c>
      <c r="M22" s="85"/>
      <c r="N22" s="86">
        <f>入學要求!S23</f>
        <v>0</v>
      </c>
      <c r="O22" s="88" t="s">
        <v>416</v>
      </c>
      <c r="P22" s="88">
        <v>3</v>
      </c>
      <c r="Q22" s="88">
        <v>3</v>
      </c>
      <c r="R22" s="88">
        <v>2</v>
      </c>
      <c r="S22" s="88">
        <v>2</v>
      </c>
      <c r="T22" s="88">
        <v>3</v>
      </c>
      <c r="U22" s="88">
        <v>3</v>
      </c>
      <c r="V22" s="88"/>
      <c r="W22" s="98" t="s">
        <v>852</v>
      </c>
    </row>
    <row r="23" spans="1:23" ht="18" customHeight="1">
      <c r="A23" s="19" t="s">
        <v>306</v>
      </c>
      <c r="B23" s="19" t="s">
        <v>422</v>
      </c>
      <c r="C23" s="19" t="s">
        <v>307</v>
      </c>
      <c r="D23" s="19" t="s">
        <v>368</v>
      </c>
      <c r="E23" s="38" t="s">
        <v>214</v>
      </c>
      <c r="F23" s="205" t="s">
        <v>393</v>
      </c>
      <c r="G23" s="205" t="s">
        <v>393</v>
      </c>
      <c r="H23" s="205" t="s">
        <v>393</v>
      </c>
      <c r="I23" s="230">
        <f>計分版!D34</f>
        <v>3.1500000000000005E-9</v>
      </c>
      <c r="J23" s="22" t="s">
        <v>393</v>
      </c>
      <c r="K23" s="23" t="s">
        <v>393</v>
      </c>
      <c r="L23" s="207">
        <v>14</v>
      </c>
      <c r="M23" s="93"/>
      <c r="N23" s="24">
        <f>入學要求!S24</f>
        <v>0</v>
      </c>
      <c r="O23" s="205" t="s">
        <v>416</v>
      </c>
      <c r="P23" s="205">
        <v>3</v>
      </c>
      <c r="Q23" s="205">
        <v>4</v>
      </c>
      <c r="R23" s="205">
        <v>4</v>
      </c>
      <c r="S23" s="205">
        <v>2</v>
      </c>
      <c r="T23" s="205">
        <v>3</v>
      </c>
      <c r="U23" s="205">
        <v>3</v>
      </c>
      <c r="V23" s="205"/>
      <c r="W23" s="64" t="s">
        <v>849</v>
      </c>
    </row>
    <row r="24" spans="1:23" s="89" customFormat="1" ht="18" customHeight="1">
      <c r="A24" s="80" t="s">
        <v>310</v>
      </c>
      <c r="B24" s="80" t="s">
        <v>422</v>
      </c>
      <c r="C24" s="80" t="s">
        <v>311</v>
      </c>
      <c r="D24" s="80" t="s">
        <v>370</v>
      </c>
      <c r="E24" s="80" t="s">
        <v>214</v>
      </c>
      <c r="F24" s="81">
        <v>30</v>
      </c>
      <c r="G24" s="81">
        <v>28</v>
      </c>
      <c r="H24" s="81">
        <v>25</v>
      </c>
      <c r="I24" s="234">
        <f>計分版!D43</f>
        <v>3.1500000000000005E-9</v>
      </c>
      <c r="J24" s="83">
        <f t="shared" ref="J24" si="2">IF(J$1="差距(Median)",I24-G24,IF(J$1="差距(UQ)",I24-F24,IF(J$1="差距(LQ)",I24-H24)))</f>
        <v>-24.999999996850001</v>
      </c>
      <c r="K24" s="84">
        <f t="shared" ref="K24" si="3">IF(J$1="差距(Median)",(I24-G24)/I24,IF(J$1="差距(UQ)",(I24-F24)/I24,IF(J$1="差距(LQ)",(I24-H24)/I24)))</f>
        <v>-7936507935.5079355</v>
      </c>
      <c r="L24" s="82">
        <v>20</v>
      </c>
      <c r="M24" s="85"/>
      <c r="N24" s="86">
        <f>入學要求!S25</f>
        <v>0</v>
      </c>
      <c r="O24" s="88" t="s">
        <v>416</v>
      </c>
      <c r="P24" s="88">
        <v>3</v>
      </c>
      <c r="Q24" s="88">
        <v>3</v>
      </c>
      <c r="R24" s="88">
        <v>2</v>
      </c>
      <c r="S24" s="88">
        <v>2</v>
      </c>
      <c r="T24" s="88">
        <v>3</v>
      </c>
      <c r="U24" s="88">
        <v>3</v>
      </c>
      <c r="V24" s="88"/>
      <c r="W24" s="98" t="s">
        <v>852</v>
      </c>
    </row>
    <row r="25" spans="1:23" ht="18" customHeight="1">
      <c r="A25" s="19" t="s">
        <v>312</v>
      </c>
      <c r="B25" s="19" t="s">
        <v>422</v>
      </c>
      <c r="C25" s="19" t="s">
        <v>313</v>
      </c>
      <c r="D25" s="19" t="s">
        <v>371</v>
      </c>
      <c r="E25" s="38" t="s">
        <v>214</v>
      </c>
      <c r="F25" s="21">
        <v>28</v>
      </c>
      <c r="G25" s="21">
        <v>26</v>
      </c>
      <c r="H25" s="21">
        <v>25</v>
      </c>
      <c r="I25" s="230">
        <f>計分版!D44</f>
        <v>3.1500000000000005E-9</v>
      </c>
      <c r="J25" s="91">
        <f t="shared" ref="J25:J43" si="4">IF(J$1="差距(Median)",I25-G25,IF(J$1="差距(UQ)",I25-F25,IF(J$1="差距(LQ)",I25-H25)))</f>
        <v>-24.999999996850001</v>
      </c>
      <c r="K25" s="92">
        <f t="shared" ref="K25:K43" si="5">IF(J$1="差距(Median)",(I25-G25)/I25,IF(J$1="差距(UQ)",(I25-F25)/I25,IF(J$1="差距(LQ)",(I25-H25)/I25)))</f>
        <v>-7936507935.5079355</v>
      </c>
      <c r="L25" s="207">
        <v>383</v>
      </c>
      <c r="M25" s="93"/>
      <c r="N25" s="24">
        <f>入學要求!S26</f>
        <v>0</v>
      </c>
      <c r="O25" s="205" t="s">
        <v>416</v>
      </c>
      <c r="P25" s="205">
        <v>3</v>
      </c>
      <c r="Q25" s="205">
        <v>3</v>
      </c>
      <c r="R25" s="205">
        <v>2</v>
      </c>
      <c r="S25" s="205">
        <v>2</v>
      </c>
      <c r="T25" s="205">
        <v>3</v>
      </c>
      <c r="U25" s="205">
        <v>3</v>
      </c>
      <c r="V25" s="205"/>
      <c r="W25" s="64" t="s">
        <v>852</v>
      </c>
    </row>
    <row r="26" spans="1:23" s="89" customFormat="1" ht="18" customHeight="1">
      <c r="A26" s="80" t="s">
        <v>245</v>
      </c>
      <c r="B26" s="80" t="s">
        <v>421</v>
      </c>
      <c r="C26" s="80" t="s">
        <v>246</v>
      </c>
      <c r="D26" s="80" t="s">
        <v>337</v>
      </c>
      <c r="E26" s="80" t="s">
        <v>80</v>
      </c>
      <c r="F26" s="81">
        <v>46</v>
      </c>
      <c r="G26" s="81">
        <v>42</v>
      </c>
      <c r="H26" s="81">
        <v>39</v>
      </c>
      <c r="I26" s="234">
        <f>計分版!D45</f>
        <v>3.6E-9</v>
      </c>
      <c r="J26" s="83">
        <f t="shared" si="4"/>
        <v>-38.9999999964</v>
      </c>
      <c r="K26" s="84">
        <f t="shared" si="5"/>
        <v>-10833333332.333334</v>
      </c>
      <c r="L26" s="82">
        <v>20</v>
      </c>
      <c r="M26" s="85"/>
      <c r="N26" s="86">
        <f>入學要求!S27</f>
        <v>0</v>
      </c>
      <c r="O26" s="88" t="s">
        <v>416</v>
      </c>
      <c r="P26" s="88">
        <v>4</v>
      </c>
      <c r="Q26" s="88">
        <v>5</v>
      </c>
      <c r="R26" s="88">
        <v>3</v>
      </c>
      <c r="S26" s="88">
        <v>3</v>
      </c>
      <c r="T26" s="88">
        <v>3</v>
      </c>
      <c r="U26" s="88">
        <v>3</v>
      </c>
      <c r="V26" s="88"/>
      <c r="W26" s="98" t="s">
        <v>849</v>
      </c>
    </row>
    <row r="27" spans="1:23" ht="18" customHeight="1">
      <c r="A27" s="19" t="s">
        <v>269</v>
      </c>
      <c r="B27" s="19" t="s">
        <v>421</v>
      </c>
      <c r="C27" s="19" t="s">
        <v>169</v>
      </c>
      <c r="D27" s="19" t="s">
        <v>349</v>
      </c>
      <c r="E27" s="38" t="s">
        <v>80</v>
      </c>
      <c r="F27" s="21">
        <v>39</v>
      </c>
      <c r="G27" s="21">
        <v>38</v>
      </c>
      <c r="H27" s="21">
        <v>38</v>
      </c>
      <c r="I27" s="230">
        <f>計分版!D46</f>
        <v>3.6E-9</v>
      </c>
      <c r="J27" s="91">
        <f t="shared" si="4"/>
        <v>-37.9999999964</v>
      </c>
      <c r="K27" s="92">
        <f t="shared" si="5"/>
        <v>-10555555554.555555</v>
      </c>
      <c r="L27" s="207">
        <v>98</v>
      </c>
      <c r="M27" s="93"/>
      <c r="N27" s="24">
        <f>入學要求!S28</f>
        <v>0</v>
      </c>
      <c r="O27" s="205" t="s">
        <v>417</v>
      </c>
      <c r="P27" s="205">
        <v>4</v>
      </c>
      <c r="Q27" s="205">
        <v>5</v>
      </c>
      <c r="R27" s="205">
        <v>3</v>
      </c>
      <c r="S27" s="205">
        <v>3</v>
      </c>
      <c r="T27" s="205">
        <v>3</v>
      </c>
      <c r="U27" s="205">
        <v>3</v>
      </c>
      <c r="V27" s="205"/>
      <c r="W27" s="64" t="s">
        <v>849</v>
      </c>
    </row>
    <row r="28" spans="1:23" s="89" customFormat="1" ht="18" customHeight="1">
      <c r="A28" s="80" t="s">
        <v>270</v>
      </c>
      <c r="B28" s="80" t="s">
        <v>423</v>
      </c>
      <c r="C28" s="80" t="s">
        <v>271</v>
      </c>
      <c r="D28" s="80" t="s">
        <v>350</v>
      </c>
      <c r="E28" s="80" t="s">
        <v>80</v>
      </c>
      <c r="F28" s="81">
        <v>39</v>
      </c>
      <c r="G28" s="81">
        <v>38</v>
      </c>
      <c r="H28" s="81">
        <v>37</v>
      </c>
      <c r="I28" s="234">
        <f>計分版!D47</f>
        <v>3.7666666666666665E-9</v>
      </c>
      <c r="J28" s="83">
        <f t="shared" si="4"/>
        <v>-36.999999996233335</v>
      </c>
      <c r="K28" s="84">
        <f t="shared" si="5"/>
        <v>-9823008848.5575237</v>
      </c>
      <c r="L28" s="82">
        <v>265</v>
      </c>
      <c r="M28" s="85"/>
      <c r="N28" s="86">
        <f>入學要求!S29</f>
        <v>0</v>
      </c>
      <c r="O28" s="88" t="s">
        <v>417</v>
      </c>
      <c r="P28" s="88">
        <v>3</v>
      </c>
      <c r="Q28" s="88">
        <v>4</v>
      </c>
      <c r="R28" s="88">
        <v>2</v>
      </c>
      <c r="S28" s="88">
        <v>2</v>
      </c>
      <c r="T28" s="88">
        <v>3</v>
      </c>
      <c r="U28" s="88">
        <v>3</v>
      </c>
      <c r="V28" s="90">
        <v>0.1</v>
      </c>
      <c r="W28" s="98" t="s">
        <v>853</v>
      </c>
    </row>
    <row r="29" spans="1:23" ht="18" customHeight="1">
      <c r="A29" s="19" t="s">
        <v>272</v>
      </c>
      <c r="B29" s="19" t="s">
        <v>423</v>
      </c>
      <c r="C29" s="19" t="s">
        <v>273</v>
      </c>
      <c r="D29" s="19" t="s">
        <v>351</v>
      </c>
      <c r="E29" s="38" t="s">
        <v>214</v>
      </c>
      <c r="F29" s="21">
        <v>26</v>
      </c>
      <c r="G29" s="21">
        <v>25</v>
      </c>
      <c r="H29" s="21">
        <v>25</v>
      </c>
      <c r="I29" s="230">
        <f>計分版!D48</f>
        <v>3.3999999999999998E-9</v>
      </c>
      <c r="J29" s="91">
        <f t="shared" si="4"/>
        <v>-24.9999999966</v>
      </c>
      <c r="K29" s="92">
        <f t="shared" si="5"/>
        <v>-7352941175.4705887</v>
      </c>
      <c r="L29" s="207">
        <v>210</v>
      </c>
      <c r="M29" s="93"/>
      <c r="N29" s="24">
        <f>入學要求!S30</f>
        <v>0</v>
      </c>
      <c r="O29" s="205" t="s">
        <v>417</v>
      </c>
      <c r="P29" s="205">
        <v>3</v>
      </c>
      <c r="Q29" s="205">
        <v>3</v>
      </c>
      <c r="R29" s="205">
        <v>2</v>
      </c>
      <c r="S29" s="205">
        <v>2</v>
      </c>
      <c r="T29" s="205">
        <v>3</v>
      </c>
      <c r="U29" s="205">
        <v>3</v>
      </c>
      <c r="V29" s="205"/>
      <c r="W29" s="64" t="s">
        <v>848</v>
      </c>
    </row>
    <row r="30" spans="1:23" s="89" customFormat="1" ht="18" customHeight="1">
      <c r="A30" s="80" t="s">
        <v>274</v>
      </c>
      <c r="B30" s="80" t="s">
        <v>423</v>
      </c>
      <c r="C30" s="80" t="s">
        <v>275</v>
      </c>
      <c r="D30" s="80" t="s">
        <v>352</v>
      </c>
      <c r="E30" s="80" t="s">
        <v>214</v>
      </c>
      <c r="F30" s="81">
        <v>29</v>
      </c>
      <c r="G30" s="81">
        <v>29</v>
      </c>
      <c r="H30" s="81">
        <v>28</v>
      </c>
      <c r="I30" s="234">
        <f>計分版!D49</f>
        <v>3.3999999999999998E-9</v>
      </c>
      <c r="J30" s="83">
        <f t="shared" si="4"/>
        <v>-27.9999999966</v>
      </c>
      <c r="K30" s="84">
        <f t="shared" si="5"/>
        <v>-8235294116.6470594</v>
      </c>
      <c r="L30" s="82">
        <v>24</v>
      </c>
      <c r="M30" s="85"/>
      <c r="N30" s="86">
        <f>入學要求!S31</f>
        <v>0</v>
      </c>
      <c r="O30" s="88" t="s">
        <v>417</v>
      </c>
      <c r="P30" s="88">
        <v>3</v>
      </c>
      <c r="Q30" s="88">
        <v>3</v>
      </c>
      <c r="R30" s="88">
        <v>2</v>
      </c>
      <c r="S30" s="88">
        <v>2</v>
      </c>
      <c r="T30" s="88">
        <v>3</v>
      </c>
      <c r="U30" s="88">
        <v>3</v>
      </c>
      <c r="V30" s="88"/>
      <c r="W30" s="98" t="s">
        <v>848</v>
      </c>
    </row>
    <row r="31" spans="1:23" ht="18" customHeight="1">
      <c r="A31" s="19" t="s">
        <v>276</v>
      </c>
      <c r="B31" s="19" t="s">
        <v>423</v>
      </c>
      <c r="C31" s="19" t="s">
        <v>277</v>
      </c>
      <c r="D31" s="19" t="s">
        <v>353</v>
      </c>
      <c r="E31" s="38" t="s">
        <v>80</v>
      </c>
      <c r="F31" s="21">
        <v>35</v>
      </c>
      <c r="G31" s="21">
        <v>34</v>
      </c>
      <c r="H31" s="21">
        <v>33</v>
      </c>
      <c r="I31" s="230">
        <f>計分版!D50</f>
        <v>3.7666666666666665E-9</v>
      </c>
      <c r="J31" s="91">
        <f t="shared" si="4"/>
        <v>-32.999999996233335</v>
      </c>
      <c r="K31" s="92">
        <f t="shared" si="5"/>
        <v>-8761061945.9026566</v>
      </c>
      <c r="L31" s="207">
        <v>30</v>
      </c>
      <c r="M31" s="93"/>
      <c r="N31" s="24">
        <f>入學要求!S32</f>
        <v>0</v>
      </c>
      <c r="O31" s="205" t="s">
        <v>417</v>
      </c>
      <c r="P31" s="205">
        <v>3</v>
      </c>
      <c r="Q31" s="205">
        <v>4</v>
      </c>
      <c r="R31" s="205">
        <v>2</v>
      </c>
      <c r="S31" s="205">
        <v>2</v>
      </c>
      <c r="T31" s="205">
        <v>3</v>
      </c>
      <c r="U31" s="205">
        <v>3</v>
      </c>
      <c r="V31" s="95">
        <v>0.1</v>
      </c>
      <c r="W31" s="64" t="s">
        <v>853</v>
      </c>
    </row>
    <row r="32" spans="1:23" s="89" customFormat="1" ht="18" customHeight="1">
      <c r="A32" s="80" t="s">
        <v>308</v>
      </c>
      <c r="B32" s="80" t="s">
        <v>423</v>
      </c>
      <c r="C32" s="80" t="s">
        <v>309</v>
      </c>
      <c r="D32" s="80" t="s">
        <v>369</v>
      </c>
      <c r="E32" s="80" t="s">
        <v>80</v>
      </c>
      <c r="F32" s="81">
        <v>35</v>
      </c>
      <c r="G32" s="81">
        <v>35</v>
      </c>
      <c r="H32" s="81">
        <v>35</v>
      </c>
      <c r="I32" s="234">
        <f>計分版!D51</f>
        <v>3.7666666666666665E-9</v>
      </c>
      <c r="J32" s="83">
        <f t="shared" si="4"/>
        <v>-34.999999996233335</v>
      </c>
      <c r="K32" s="84">
        <f t="shared" si="5"/>
        <v>-9292035397.2300892</v>
      </c>
      <c r="L32" s="82">
        <v>35</v>
      </c>
      <c r="M32" s="85"/>
      <c r="N32" s="86">
        <f>入學要求!S33</f>
        <v>0</v>
      </c>
      <c r="O32" s="88" t="s">
        <v>417</v>
      </c>
      <c r="P32" s="88">
        <v>3</v>
      </c>
      <c r="Q32" s="88">
        <v>4</v>
      </c>
      <c r="R32" s="88">
        <v>2</v>
      </c>
      <c r="S32" s="88">
        <v>2</v>
      </c>
      <c r="T32" s="88">
        <v>3</v>
      </c>
      <c r="U32" s="88">
        <v>3</v>
      </c>
      <c r="V32" s="90">
        <v>0.1</v>
      </c>
      <c r="W32" s="98" t="s">
        <v>853</v>
      </c>
    </row>
    <row r="33" spans="1:23" ht="18" customHeight="1">
      <c r="A33" s="19" t="s">
        <v>280</v>
      </c>
      <c r="B33" s="19" t="s">
        <v>424</v>
      </c>
      <c r="C33" s="19" t="s">
        <v>281</v>
      </c>
      <c r="D33" s="19" t="s">
        <v>355</v>
      </c>
      <c r="E33" s="38" t="s">
        <v>80</v>
      </c>
      <c r="F33" s="21">
        <v>36</v>
      </c>
      <c r="G33" s="21">
        <v>33</v>
      </c>
      <c r="H33" s="21">
        <v>32</v>
      </c>
      <c r="I33" s="230">
        <f>計分版!D52</f>
        <v>3.4000000000000003E-9</v>
      </c>
      <c r="J33" s="91">
        <f t="shared" si="4"/>
        <v>-31.9999999966</v>
      </c>
      <c r="K33" s="92">
        <f t="shared" si="5"/>
        <v>-9411764704.8823528</v>
      </c>
      <c r="L33" s="207">
        <v>61</v>
      </c>
      <c r="M33" s="93"/>
      <c r="N33" s="24">
        <f>入學要求!S34</f>
        <v>0</v>
      </c>
      <c r="O33" s="205" t="s">
        <v>416</v>
      </c>
      <c r="P33" s="205">
        <v>3</v>
      </c>
      <c r="Q33" s="205">
        <v>3</v>
      </c>
      <c r="R33" s="205">
        <v>4</v>
      </c>
      <c r="S33" s="205">
        <v>2</v>
      </c>
      <c r="T33" s="205">
        <v>3</v>
      </c>
      <c r="U33" s="205">
        <v>3</v>
      </c>
      <c r="V33" s="95">
        <v>0.1</v>
      </c>
      <c r="W33" s="64" t="s">
        <v>854</v>
      </c>
    </row>
    <row r="34" spans="1:23" s="89" customFormat="1" ht="18" customHeight="1">
      <c r="A34" s="80" t="s">
        <v>302</v>
      </c>
      <c r="B34" s="80" t="s">
        <v>424</v>
      </c>
      <c r="C34" s="80" t="s">
        <v>303</v>
      </c>
      <c r="D34" s="80" t="s">
        <v>366</v>
      </c>
      <c r="E34" s="80" t="s">
        <v>82</v>
      </c>
      <c r="F34" s="81">
        <v>26</v>
      </c>
      <c r="G34" s="81">
        <v>25</v>
      </c>
      <c r="H34" s="81">
        <v>23</v>
      </c>
      <c r="I34" s="234">
        <f>計分版!D53</f>
        <v>2.2000000000000003E-9</v>
      </c>
      <c r="J34" s="83">
        <f t="shared" si="4"/>
        <v>-22.9999999978</v>
      </c>
      <c r="K34" s="84">
        <f t="shared" si="5"/>
        <v>-10454545453.545454</v>
      </c>
      <c r="L34" s="82">
        <v>336</v>
      </c>
      <c r="M34" s="85"/>
      <c r="N34" s="86">
        <f>入學要求!S35</f>
        <v>0</v>
      </c>
      <c r="O34" s="88" t="s">
        <v>416</v>
      </c>
      <c r="P34" s="88">
        <v>3</v>
      </c>
      <c r="Q34" s="88">
        <v>3</v>
      </c>
      <c r="R34" s="88">
        <v>2</v>
      </c>
      <c r="S34" s="88">
        <v>2</v>
      </c>
      <c r="T34" s="88">
        <v>3</v>
      </c>
      <c r="U34" s="88">
        <v>3</v>
      </c>
      <c r="V34" s="88"/>
      <c r="W34" s="98" t="s">
        <v>854</v>
      </c>
    </row>
    <row r="35" spans="1:23" ht="18" customHeight="1">
      <c r="A35" s="19" t="s">
        <v>278</v>
      </c>
      <c r="B35" s="19" t="s">
        <v>425</v>
      </c>
      <c r="C35" s="19" t="s">
        <v>279</v>
      </c>
      <c r="D35" s="19" t="s">
        <v>354</v>
      </c>
      <c r="E35" s="38" t="s">
        <v>214</v>
      </c>
      <c r="F35" s="21">
        <v>31</v>
      </c>
      <c r="G35" s="21">
        <v>28</v>
      </c>
      <c r="H35" s="21">
        <v>28</v>
      </c>
      <c r="I35" s="230">
        <f>計分版!D54</f>
        <v>3.3999999999999998E-9</v>
      </c>
      <c r="J35" s="91">
        <f t="shared" si="4"/>
        <v>-27.9999999966</v>
      </c>
      <c r="K35" s="92">
        <f t="shared" si="5"/>
        <v>-8235294116.6470594</v>
      </c>
      <c r="L35" s="207">
        <v>179</v>
      </c>
      <c r="M35" s="93"/>
      <c r="N35" s="24">
        <f>入學要求!S36</f>
        <v>0</v>
      </c>
      <c r="O35" s="205" t="s">
        <v>416</v>
      </c>
      <c r="P35" s="205">
        <v>3</v>
      </c>
      <c r="Q35" s="205">
        <v>3</v>
      </c>
      <c r="R35" s="205">
        <v>2</v>
      </c>
      <c r="S35" s="205">
        <v>2</v>
      </c>
      <c r="T35" s="205">
        <v>3</v>
      </c>
      <c r="U35" s="205">
        <v>3</v>
      </c>
      <c r="V35" s="205"/>
      <c r="W35" s="64" t="s">
        <v>849</v>
      </c>
    </row>
    <row r="36" spans="1:23" s="89" customFormat="1" ht="18" customHeight="1">
      <c r="A36" s="80" t="s">
        <v>282</v>
      </c>
      <c r="B36" s="80" t="s">
        <v>425</v>
      </c>
      <c r="C36" s="80" t="s">
        <v>283</v>
      </c>
      <c r="D36" s="80" t="s">
        <v>356</v>
      </c>
      <c r="E36" s="80" t="s">
        <v>214</v>
      </c>
      <c r="F36" s="81">
        <v>27</v>
      </c>
      <c r="G36" s="81">
        <v>26</v>
      </c>
      <c r="H36" s="81">
        <v>26</v>
      </c>
      <c r="I36" s="234">
        <f>計分版!D55</f>
        <v>3.3999999999999998E-9</v>
      </c>
      <c r="J36" s="83">
        <f t="shared" si="4"/>
        <v>-25.9999999966</v>
      </c>
      <c r="K36" s="84">
        <f t="shared" si="5"/>
        <v>-7647058822.5294123</v>
      </c>
      <c r="L36" s="82">
        <v>35</v>
      </c>
      <c r="M36" s="85"/>
      <c r="N36" s="86">
        <f>入學要求!S37</f>
        <v>0</v>
      </c>
      <c r="O36" s="88" t="s">
        <v>417</v>
      </c>
      <c r="P36" s="88">
        <v>3</v>
      </c>
      <c r="Q36" s="88">
        <v>3</v>
      </c>
      <c r="R36" s="88">
        <v>2</v>
      </c>
      <c r="S36" s="88">
        <v>2</v>
      </c>
      <c r="T36" s="88">
        <v>3</v>
      </c>
      <c r="U36" s="88">
        <v>3</v>
      </c>
      <c r="V36" s="88"/>
      <c r="W36" s="98" t="s">
        <v>849</v>
      </c>
    </row>
    <row r="37" spans="1:23" ht="18" customHeight="1">
      <c r="A37" s="19" t="s">
        <v>292</v>
      </c>
      <c r="B37" s="19" t="s">
        <v>425</v>
      </c>
      <c r="C37" s="19" t="s">
        <v>293</v>
      </c>
      <c r="D37" s="19" t="s">
        <v>361</v>
      </c>
      <c r="E37" s="38" t="s">
        <v>80</v>
      </c>
      <c r="F37" s="21">
        <v>44</v>
      </c>
      <c r="G37" s="21">
        <v>41</v>
      </c>
      <c r="H37" s="21">
        <v>39</v>
      </c>
      <c r="I37" s="230">
        <f>計分版!D56</f>
        <v>3.7E-9</v>
      </c>
      <c r="J37" s="91">
        <f t="shared" si="4"/>
        <v>-38.999999996299998</v>
      </c>
      <c r="K37" s="92">
        <f t="shared" si="5"/>
        <v>-10540540539.540541</v>
      </c>
      <c r="L37" s="207">
        <v>50</v>
      </c>
      <c r="M37" s="93"/>
      <c r="N37" s="24">
        <f>入學要求!S38</f>
        <v>0</v>
      </c>
      <c r="O37" s="205" t="s">
        <v>416</v>
      </c>
      <c r="P37" s="205">
        <v>4</v>
      </c>
      <c r="Q37" s="205">
        <v>5</v>
      </c>
      <c r="R37" s="205">
        <v>3</v>
      </c>
      <c r="S37" s="205">
        <v>3</v>
      </c>
      <c r="T37" s="205">
        <v>3</v>
      </c>
      <c r="U37" s="205">
        <v>3</v>
      </c>
      <c r="V37" s="205"/>
      <c r="W37" s="64" t="s">
        <v>849</v>
      </c>
    </row>
    <row r="38" spans="1:23" s="89" customFormat="1" ht="18" customHeight="1">
      <c r="A38" s="80" t="s">
        <v>294</v>
      </c>
      <c r="B38" s="80" t="s">
        <v>425</v>
      </c>
      <c r="C38" s="80" t="s">
        <v>295</v>
      </c>
      <c r="D38" s="80" t="s">
        <v>362</v>
      </c>
      <c r="E38" s="80" t="s">
        <v>214</v>
      </c>
      <c r="F38" s="81">
        <v>32</v>
      </c>
      <c r="G38" s="81">
        <v>31</v>
      </c>
      <c r="H38" s="81">
        <v>28</v>
      </c>
      <c r="I38" s="234">
        <f>計分版!D57</f>
        <v>3.3999999999999998E-9</v>
      </c>
      <c r="J38" s="83">
        <f t="shared" si="4"/>
        <v>-27.9999999966</v>
      </c>
      <c r="K38" s="84">
        <f t="shared" si="5"/>
        <v>-8235294116.6470594</v>
      </c>
      <c r="L38" s="82">
        <v>21</v>
      </c>
      <c r="M38" s="85"/>
      <c r="N38" s="86">
        <f>入學要求!S39</f>
        <v>0</v>
      </c>
      <c r="O38" s="88" t="s">
        <v>416</v>
      </c>
      <c r="P38" s="88">
        <v>3</v>
      </c>
      <c r="Q38" s="88">
        <v>3</v>
      </c>
      <c r="R38" s="88">
        <v>2</v>
      </c>
      <c r="S38" s="88">
        <v>2</v>
      </c>
      <c r="T38" s="88">
        <v>3</v>
      </c>
      <c r="U38" s="88">
        <v>3</v>
      </c>
      <c r="V38" s="88"/>
      <c r="W38" s="98" t="s">
        <v>849</v>
      </c>
    </row>
    <row r="39" spans="1:23" ht="18" customHeight="1">
      <c r="A39" s="19" t="s">
        <v>259</v>
      </c>
      <c r="B39" s="19" t="s">
        <v>426</v>
      </c>
      <c r="C39" s="96" t="s">
        <v>260</v>
      </c>
      <c r="D39" s="19" t="s">
        <v>344</v>
      </c>
      <c r="E39" s="38" t="s">
        <v>214</v>
      </c>
      <c r="F39" s="21">
        <v>34</v>
      </c>
      <c r="G39" s="21">
        <v>31</v>
      </c>
      <c r="H39" s="21">
        <v>29</v>
      </c>
      <c r="I39" s="230">
        <f>計分版!D58</f>
        <v>3.9500000000000006E-9</v>
      </c>
      <c r="J39" s="91">
        <f t="shared" si="4"/>
        <v>-28.999999996050001</v>
      </c>
      <c r="K39" s="92">
        <f t="shared" si="5"/>
        <v>-7341772150.8987331</v>
      </c>
      <c r="L39" s="207">
        <v>24</v>
      </c>
      <c r="M39" s="93"/>
      <c r="N39" s="24">
        <f>入學要求!S40</f>
        <v>0</v>
      </c>
      <c r="O39" s="205" t="s">
        <v>416</v>
      </c>
      <c r="P39" s="205">
        <v>3</v>
      </c>
      <c r="Q39" s="205">
        <v>5</v>
      </c>
      <c r="R39" s="205">
        <v>2</v>
      </c>
      <c r="S39" s="205">
        <v>2</v>
      </c>
      <c r="T39" s="205">
        <v>3</v>
      </c>
      <c r="U39" s="205">
        <v>3</v>
      </c>
      <c r="V39" s="205"/>
      <c r="W39" s="64" t="s">
        <v>849</v>
      </c>
    </row>
    <row r="40" spans="1:23" s="89" customFormat="1" ht="18" customHeight="1">
      <c r="A40" s="80" t="s">
        <v>261</v>
      </c>
      <c r="B40" s="80" t="s">
        <v>426</v>
      </c>
      <c r="C40" s="80" t="s">
        <v>262</v>
      </c>
      <c r="D40" s="80" t="s">
        <v>345</v>
      </c>
      <c r="E40" s="80" t="s">
        <v>80</v>
      </c>
      <c r="F40" s="81">
        <v>38</v>
      </c>
      <c r="G40" s="81">
        <v>36</v>
      </c>
      <c r="H40" s="81">
        <v>35</v>
      </c>
      <c r="I40" s="234">
        <f>計分版!D59</f>
        <v>3.4000000000000003E-9</v>
      </c>
      <c r="J40" s="83">
        <f t="shared" si="4"/>
        <v>-34.999999996600003</v>
      </c>
      <c r="K40" s="84">
        <f t="shared" si="5"/>
        <v>-10294117646.058825</v>
      </c>
      <c r="L40" s="82">
        <v>15</v>
      </c>
      <c r="M40" s="85"/>
      <c r="N40" s="86">
        <f>入學要求!S41</f>
        <v>0</v>
      </c>
      <c r="O40" s="88" t="s">
        <v>416</v>
      </c>
      <c r="P40" s="88">
        <v>3</v>
      </c>
      <c r="Q40" s="88">
        <v>5</v>
      </c>
      <c r="R40" s="88">
        <v>4</v>
      </c>
      <c r="S40" s="88">
        <v>2</v>
      </c>
      <c r="T40" s="88">
        <v>3</v>
      </c>
      <c r="U40" s="88">
        <v>3</v>
      </c>
      <c r="V40" s="90">
        <v>0.1</v>
      </c>
      <c r="W40" s="98" t="s">
        <v>854</v>
      </c>
    </row>
    <row r="41" spans="1:23" ht="18" customHeight="1">
      <c r="A41" s="19" t="s">
        <v>263</v>
      </c>
      <c r="B41" s="19" t="s">
        <v>426</v>
      </c>
      <c r="C41" s="19" t="s">
        <v>264</v>
      </c>
      <c r="D41" s="19" t="s">
        <v>346</v>
      </c>
      <c r="E41" s="38" t="s">
        <v>427</v>
      </c>
      <c r="F41" s="21">
        <v>34</v>
      </c>
      <c r="G41" s="21">
        <v>31</v>
      </c>
      <c r="H41" s="21">
        <v>29</v>
      </c>
      <c r="I41" s="230">
        <f>計分版!D60</f>
        <v>3.9500000000000006E-9</v>
      </c>
      <c r="J41" s="91">
        <f t="shared" si="4"/>
        <v>-28.999999996050001</v>
      </c>
      <c r="K41" s="92">
        <f t="shared" si="5"/>
        <v>-7341772150.8987331</v>
      </c>
      <c r="L41" s="207">
        <v>15</v>
      </c>
      <c r="M41" s="93"/>
      <c r="N41" s="24">
        <f>入學要求!S42</f>
        <v>0</v>
      </c>
      <c r="O41" s="205" t="s">
        <v>417</v>
      </c>
      <c r="P41" s="205">
        <v>3</v>
      </c>
      <c r="Q41" s="205">
        <v>5</v>
      </c>
      <c r="R41" s="205">
        <v>2</v>
      </c>
      <c r="S41" s="205">
        <v>2</v>
      </c>
      <c r="T41" s="205">
        <v>3</v>
      </c>
      <c r="U41" s="205">
        <v>3</v>
      </c>
      <c r="V41" s="205"/>
      <c r="W41" s="64" t="s">
        <v>848</v>
      </c>
    </row>
    <row r="42" spans="1:23" s="89" customFormat="1" ht="18" customHeight="1">
      <c r="A42" s="80" t="s">
        <v>265</v>
      </c>
      <c r="B42" s="80" t="s">
        <v>426</v>
      </c>
      <c r="C42" s="80" t="s">
        <v>266</v>
      </c>
      <c r="D42" s="80" t="s">
        <v>347</v>
      </c>
      <c r="E42" s="80" t="s">
        <v>80</v>
      </c>
      <c r="F42" s="81">
        <v>38</v>
      </c>
      <c r="G42" s="81">
        <v>36</v>
      </c>
      <c r="H42" s="81">
        <v>35</v>
      </c>
      <c r="I42" s="234">
        <f>計分版!D61</f>
        <v>3.8500000000000006E-9</v>
      </c>
      <c r="J42" s="83">
        <f t="shared" si="4"/>
        <v>-34.999999996150002</v>
      </c>
      <c r="K42" s="84">
        <f t="shared" si="5"/>
        <v>-9090909089.90909</v>
      </c>
      <c r="L42" s="82">
        <v>24</v>
      </c>
      <c r="M42" s="85"/>
      <c r="N42" s="86">
        <f>入學要求!S43</f>
        <v>0</v>
      </c>
      <c r="O42" s="88" t="s">
        <v>416</v>
      </c>
      <c r="P42" s="88">
        <v>3</v>
      </c>
      <c r="Q42" s="88">
        <v>5</v>
      </c>
      <c r="R42" s="88">
        <v>3</v>
      </c>
      <c r="S42" s="88">
        <v>2</v>
      </c>
      <c r="T42" s="88">
        <v>3</v>
      </c>
      <c r="U42" s="88">
        <v>3</v>
      </c>
      <c r="V42" s="88"/>
      <c r="W42" s="98" t="s">
        <v>849</v>
      </c>
    </row>
    <row r="43" spans="1:23" ht="18" customHeight="1">
      <c r="A43" s="19" t="s">
        <v>267</v>
      </c>
      <c r="B43" s="19" t="s">
        <v>426</v>
      </c>
      <c r="C43" s="19" t="s">
        <v>268</v>
      </c>
      <c r="D43" s="19" t="s">
        <v>348</v>
      </c>
      <c r="E43" s="38" t="s">
        <v>82</v>
      </c>
      <c r="F43" s="21">
        <v>34</v>
      </c>
      <c r="G43" s="21">
        <v>31</v>
      </c>
      <c r="H43" s="21">
        <v>29</v>
      </c>
      <c r="I43" s="230">
        <f>計分版!D62</f>
        <v>3.3999999999999998E-9</v>
      </c>
      <c r="J43" s="91">
        <f t="shared" si="4"/>
        <v>-28.9999999966</v>
      </c>
      <c r="K43" s="92">
        <f t="shared" si="5"/>
        <v>-8529411763.705883</v>
      </c>
      <c r="L43" s="207">
        <v>20</v>
      </c>
      <c r="M43" s="93"/>
      <c r="N43" s="24">
        <f>入學要求!S44</f>
        <v>0</v>
      </c>
      <c r="O43" s="205" t="s">
        <v>417</v>
      </c>
      <c r="P43" s="205">
        <v>3</v>
      </c>
      <c r="Q43" s="205">
        <v>5</v>
      </c>
      <c r="R43" s="205">
        <v>2</v>
      </c>
      <c r="S43" s="205">
        <v>2</v>
      </c>
      <c r="T43" s="205">
        <v>3</v>
      </c>
      <c r="U43" s="205">
        <v>3</v>
      </c>
      <c r="V43" s="205"/>
      <c r="W43" s="64" t="s">
        <v>850</v>
      </c>
    </row>
    <row r="44" spans="1:23">
      <c r="A44" s="66"/>
      <c r="B44" s="66"/>
      <c r="C44" s="66"/>
      <c r="D44" s="66"/>
      <c r="E44" s="68"/>
      <c r="F44" s="67"/>
      <c r="G44" s="67"/>
      <c r="H44" s="67"/>
      <c r="I44" s="67"/>
      <c r="J44" s="69"/>
      <c r="K44" s="70"/>
      <c r="L44" s="67"/>
      <c r="M44" s="71"/>
      <c r="N44" s="66"/>
      <c r="O44" s="67"/>
      <c r="P44" s="67"/>
      <c r="Q44" s="67"/>
      <c r="R44" s="67"/>
      <c r="S44" s="67"/>
      <c r="T44" s="67"/>
      <c r="U44" s="67"/>
      <c r="V44" s="67"/>
      <c r="W44" s="99"/>
    </row>
    <row r="45" spans="1:23" s="66" customFormat="1">
      <c r="A45" s="72" t="s">
        <v>1185</v>
      </c>
      <c r="B45" s="72"/>
      <c r="C45" s="72"/>
      <c r="D45" s="72"/>
      <c r="E45" s="68"/>
      <c r="F45" s="73"/>
      <c r="G45" s="73"/>
      <c r="H45" s="73"/>
      <c r="I45" s="73"/>
      <c r="J45" s="74"/>
      <c r="K45" s="75"/>
      <c r="L45" s="73"/>
      <c r="M45" s="76"/>
      <c r="N45" s="72"/>
      <c r="O45" s="73"/>
      <c r="P45" s="73"/>
      <c r="Q45" s="73"/>
      <c r="R45" s="73"/>
      <c r="S45" s="73"/>
      <c r="T45" s="73"/>
      <c r="U45" s="73"/>
      <c r="V45" s="73"/>
      <c r="W45" s="100"/>
    </row>
    <row r="46" spans="1:23" s="66" customFormat="1">
      <c r="A46" s="72" t="s">
        <v>1184</v>
      </c>
      <c r="B46" s="72"/>
      <c r="C46" s="72"/>
      <c r="D46" s="72"/>
      <c r="E46" s="68"/>
      <c r="F46" s="73"/>
      <c r="G46" s="73"/>
      <c r="H46" s="73"/>
      <c r="I46" s="73"/>
      <c r="J46" s="74"/>
      <c r="K46" s="75"/>
      <c r="L46" s="73"/>
      <c r="M46" s="76"/>
      <c r="N46" s="72"/>
      <c r="O46" s="73"/>
      <c r="P46" s="73"/>
      <c r="Q46" s="73"/>
      <c r="R46" s="73"/>
      <c r="S46" s="73"/>
      <c r="T46" s="73"/>
      <c r="U46" s="73"/>
      <c r="V46" s="67"/>
      <c r="W46" s="100"/>
    </row>
    <row r="47" spans="1:23" s="66" customFormat="1">
      <c r="A47" s="72"/>
      <c r="B47" s="72"/>
      <c r="C47" s="72"/>
      <c r="D47" s="72"/>
      <c r="E47" s="68"/>
      <c r="F47" s="73"/>
      <c r="G47" s="73"/>
      <c r="H47" s="73"/>
      <c r="I47" s="73"/>
      <c r="J47" s="74"/>
      <c r="K47" s="75"/>
      <c r="L47" s="73"/>
      <c r="M47" s="76"/>
      <c r="N47" s="72"/>
      <c r="O47" s="73"/>
      <c r="P47" s="73"/>
      <c r="Q47" s="73"/>
      <c r="R47" s="73"/>
      <c r="S47" s="73"/>
      <c r="T47" s="73"/>
      <c r="U47" s="73"/>
      <c r="V47" s="67"/>
      <c r="W47" s="100"/>
    </row>
    <row r="48" spans="1:23" s="66" customFormat="1">
      <c r="A48" s="68" t="s">
        <v>1352</v>
      </c>
      <c r="B48" s="72"/>
      <c r="C48" s="72"/>
      <c r="D48" s="72"/>
      <c r="E48" s="68"/>
      <c r="F48" s="73"/>
      <c r="G48" s="73"/>
      <c r="H48" s="73"/>
      <c r="I48" s="73"/>
      <c r="J48" s="74"/>
      <c r="K48" s="75"/>
      <c r="L48" s="73"/>
      <c r="M48" s="76"/>
      <c r="N48" s="72"/>
      <c r="O48" s="73"/>
      <c r="P48" s="73"/>
      <c r="Q48" s="73"/>
      <c r="R48" s="73"/>
      <c r="S48" s="73"/>
      <c r="T48" s="73"/>
      <c r="U48" s="73"/>
      <c r="V48" s="67"/>
      <c r="W48" s="100"/>
    </row>
    <row r="49" spans="1:23" s="66" customFormat="1">
      <c r="A49" s="269" t="s">
        <v>1367</v>
      </c>
      <c r="B49" s="72"/>
      <c r="C49" s="72"/>
      <c r="D49" s="72"/>
      <c r="E49" s="68"/>
      <c r="F49" s="73"/>
      <c r="G49" s="73"/>
      <c r="H49" s="73"/>
      <c r="I49" s="73"/>
      <c r="J49" s="74"/>
      <c r="K49" s="75"/>
      <c r="L49" s="73"/>
      <c r="M49" s="76"/>
      <c r="N49" s="72"/>
      <c r="O49" s="73"/>
      <c r="P49" s="73"/>
      <c r="Q49" s="73"/>
      <c r="R49" s="73"/>
      <c r="S49" s="73"/>
      <c r="T49" s="73"/>
      <c r="U49" s="73"/>
      <c r="V49" s="67"/>
      <c r="W49" s="100"/>
    </row>
    <row r="50" spans="1:23" s="66" customFormat="1">
      <c r="A50" s="269" t="s">
        <v>1371</v>
      </c>
      <c r="B50" s="72"/>
      <c r="C50" s="72"/>
      <c r="D50" s="72"/>
      <c r="E50" s="68"/>
      <c r="F50" s="73"/>
      <c r="G50" s="73"/>
      <c r="H50" s="73"/>
      <c r="I50" s="73"/>
      <c r="J50" s="74"/>
      <c r="K50" s="75"/>
      <c r="L50" s="73"/>
      <c r="M50" s="76"/>
      <c r="N50" s="72"/>
      <c r="O50" s="73"/>
      <c r="P50" s="73"/>
      <c r="Q50" s="73"/>
      <c r="R50" s="73"/>
      <c r="S50" s="73"/>
      <c r="T50" s="73"/>
      <c r="U50" s="73"/>
      <c r="V50" s="67"/>
      <c r="W50" s="100"/>
    </row>
    <row r="51" spans="1:23">
      <c r="A51" s="269" t="s">
        <v>1373</v>
      </c>
      <c r="B51" s="72"/>
      <c r="C51" s="72"/>
      <c r="D51" s="72"/>
      <c r="E51" s="68"/>
      <c r="F51" s="73"/>
      <c r="G51" s="73"/>
      <c r="H51" s="73"/>
      <c r="I51" s="73"/>
      <c r="J51" s="74"/>
      <c r="K51" s="75"/>
      <c r="L51" s="73"/>
      <c r="M51" s="76"/>
      <c r="N51" s="72"/>
      <c r="O51" s="67"/>
      <c r="P51" s="67"/>
      <c r="Q51" s="67"/>
      <c r="R51" s="67"/>
      <c r="S51" s="67"/>
      <c r="T51" s="67"/>
      <c r="U51" s="67"/>
      <c r="V51" s="67"/>
      <c r="W51" s="99"/>
    </row>
    <row r="52" spans="1:23">
      <c r="A52" s="269" t="s">
        <v>1372</v>
      </c>
      <c r="B52" s="72"/>
      <c r="C52" s="72"/>
      <c r="D52" s="72"/>
      <c r="E52" s="68"/>
      <c r="F52" s="73"/>
      <c r="G52" s="73"/>
      <c r="H52" s="73"/>
      <c r="I52" s="73"/>
      <c r="J52" s="74"/>
      <c r="K52" s="75"/>
      <c r="L52" s="73"/>
      <c r="M52" s="76"/>
      <c r="N52" s="72"/>
      <c r="O52" s="67"/>
      <c r="P52" s="67"/>
      <c r="Q52" s="67"/>
      <c r="R52" s="67"/>
      <c r="S52" s="67"/>
      <c r="T52" s="67"/>
      <c r="U52" s="67"/>
      <c r="V52" s="67"/>
      <c r="W52" s="99"/>
    </row>
    <row r="53" spans="1:23">
      <c r="A53" s="269"/>
      <c r="B53" s="72"/>
      <c r="C53" s="72"/>
      <c r="D53" s="72"/>
      <c r="E53" s="68"/>
      <c r="F53" s="73"/>
      <c r="G53" s="73"/>
      <c r="H53" s="73"/>
      <c r="I53" s="73"/>
      <c r="J53" s="74"/>
      <c r="K53" s="75"/>
      <c r="L53" s="73"/>
      <c r="M53" s="76"/>
      <c r="N53" s="72"/>
      <c r="O53" s="67"/>
      <c r="P53" s="67"/>
      <c r="Q53" s="67"/>
      <c r="R53" s="67"/>
      <c r="S53" s="67"/>
      <c r="T53" s="67"/>
      <c r="U53" s="67"/>
      <c r="V53" s="67"/>
      <c r="W53" s="99"/>
    </row>
    <row r="54" spans="1:23">
      <c r="A54" s="68" t="s">
        <v>1368</v>
      </c>
      <c r="B54" s="72"/>
      <c r="C54" s="72"/>
      <c r="D54" s="72"/>
      <c r="E54" s="68"/>
      <c r="F54" s="73"/>
      <c r="G54" s="73"/>
      <c r="H54" s="73"/>
      <c r="I54" s="73"/>
      <c r="J54" s="74"/>
      <c r="K54" s="75"/>
      <c r="L54" s="73"/>
      <c r="M54" s="76"/>
      <c r="N54" s="72"/>
      <c r="O54" s="67"/>
      <c r="P54" s="67"/>
      <c r="Q54" s="67"/>
      <c r="R54" s="67"/>
      <c r="S54" s="67"/>
      <c r="T54" s="67"/>
      <c r="U54" s="67"/>
      <c r="V54" s="67"/>
      <c r="W54" s="99"/>
    </row>
    <row r="55" spans="1:23">
      <c r="A55" s="269" t="s">
        <v>1369</v>
      </c>
      <c r="B55" s="19"/>
      <c r="C55" s="19"/>
      <c r="D55" s="19"/>
      <c r="F55" s="260"/>
      <c r="G55" s="260"/>
      <c r="H55" s="260"/>
      <c r="I55" s="260"/>
      <c r="J55" s="63"/>
      <c r="K55" s="64"/>
      <c r="L55" s="260"/>
      <c r="M55" s="65"/>
      <c r="N55" s="19"/>
      <c r="W55" s="99"/>
    </row>
    <row r="56" spans="1:23">
      <c r="A56" s="19" t="s">
        <v>1370</v>
      </c>
      <c r="B56" s="72"/>
      <c r="C56" s="72"/>
      <c r="D56" s="72"/>
      <c r="E56" s="68"/>
      <c r="F56" s="73"/>
      <c r="G56" s="73"/>
      <c r="H56" s="73"/>
      <c r="I56" s="73"/>
      <c r="J56" s="74"/>
      <c r="K56" s="75"/>
      <c r="L56" s="73"/>
      <c r="M56" s="76"/>
      <c r="N56" s="72"/>
      <c r="O56" s="67"/>
      <c r="P56" s="67"/>
      <c r="Q56" s="67"/>
      <c r="R56" s="67"/>
      <c r="S56" s="67"/>
      <c r="T56" s="67"/>
      <c r="U56" s="67"/>
      <c r="V56" s="67"/>
      <c r="W56" s="99"/>
    </row>
    <row r="57" spans="1:23">
      <c r="A57" s="265"/>
      <c r="B57" s="66"/>
      <c r="C57" s="66"/>
      <c r="D57" s="66"/>
      <c r="E57" s="68"/>
      <c r="F57" s="67"/>
      <c r="G57" s="67"/>
      <c r="H57" s="67"/>
      <c r="I57" s="67"/>
      <c r="J57" s="69"/>
      <c r="K57" s="70"/>
      <c r="L57" s="67"/>
      <c r="M57" s="71"/>
      <c r="N57" s="66"/>
      <c r="O57" s="67"/>
      <c r="P57" s="67"/>
      <c r="Q57" s="67"/>
      <c r="R57" s="67"/>
      <c r="S57" s="67"/>
      <c r="T57" s="67"/>
      <c r="U57" s="67"/>
      <c r="V57" s="67"/>
      <c r="W57" s="99"/>
    </row>
    <row r="58" spans="1:23" hidden="1">
      <c r="A58" s="265"/>
      <c r="W58" s="99"/>
    </row>
    <row r="59" spans="1:23" hidden="1">
      <c r="W59" s="99"/>
    </row>
    <row r="60" spans="1:23" hidden="1">
      <c r="W60" s="99"/>
    </row>
    <row r="61" spans="1:23" hidden="1">
      <c r="W61" s="99"/>
    </row>
    <row r="62" spans="1:23" hidden="1">
      <c r="W62" s="99"/>
    </row>
    <row r="63" spans="1:23" hidden="1">
      <c r="W63" s="99"/>
    </row>
    <row r="64" spans="1:23" hidden="1">
      <c r="W64" s="99"/>
    </row>
    <row r="65" spans="23:23" hidden="1">
      <c r="W65" s="99"/>
    </row>
    <row r="66" spans="23:23" hidden="1">
      <c r="W66" s="99"/>
    </row>
    <row r="67" spans="23:23" hidden="1">
      <c r="W67" s="99"/>
    </row>
    <row r="68" spans="23:23" hidden="1">
      <c r="W68" s="99"/>
    </row>
    <row r="69" spans="23:23" hidden="1">
      <c r="W69" s="99"/>
    </row>
    <row r="70" spans="23:23" hidden="1">
      <c r="W70" s="99"/>
    </row>
    <row r="71" spans="23:23" hidden="1">
      <c r="W71" s="99"/>
    </row>
    <row r="72" spans="23:23" hidden="1">
      <c r="W72" s="99"/>
    </row>
    <row r="73" spans="23:23" hidden="1">
      <c r="W73" s="99"/>
    </row>
    <row r="74" spans="23:23" hidden="1">
      <c r="W74" s="99"/>
    </row>
    <row r="75" spans="23:23" hidden="1">
      <c r="W75" s="99"/>
    </row>
    <row r="76" spans="23:23" hidden="1">
      <c r="W76" s="99"/>
    </row>
    <row r="77" spans="23:23" hidden="1">
      <c r="W77" s="99"/>
    </row>
    <row r="78" spans="23:23" hidden="1">
      <c r="W78" s="99"/>
    </row>
    <row r="79" spans="23:23" hidden="1">
      <c r="W79" s="99"/>
    </row>
    <row r="80" spans="23:23" hidden="1">
      <c r="W80" s="99"/>
    </row>
    <row r="81" spans="23:23" hidden="1">
      <c r="W81" s="99"/>
    </row>
    <row r="82" spans="23:23" hidden="1">
      <c r="W82" s="99"/>
    </row>
    <row r="83" spans="23:23" hidden="1">
      <c r="W83" s="99"/>
    </row>
    <row r="84" spans="23:23" hidden="1">
      <c r="W84" s="99"/>
    </row>
    <row r="85" spans="23:23" hidden="1">
      <c r="W85" s="99"/>
    </row>
    <row r="86" spans="23:23" hidden="1">
      <c r="W86" s="99"/>
    </row>
    <row r="87" spans="23:23" hidden="1">
      <c r="W87" s="99"/>
    </row>
    <row r="88" spans="23:23" hidden="1">
      <c r="W88" s="99"/>
    </row>
    <row r="89" spans="23:23" hidden="1">
      <c r="W89" s="99"/>
    </row>
    <row r="90" spans="23:23" hidden="1">
      <c r="W90" s="99"/>
    </row>
    <row r="91" spans="23:23" hidden="1">
      <c r="W91" s="99"/>
    </row>
    <row r="92" spans="23:23" hidden="1">
      <c r="W92" s="99"/>
    </row>
    <row r="93" spans="23:23" hidden="1">
      <c r="W93" s="99"/>
    </row>
    <row r="94" spans="23:23" hidden="1">
      <c r="W94" s="99"/>
    </row>
    <row r="95" spans="23:23" hidden="1">
      <c r="W95" s="99"/>
    </row>
    <row r="96" spans="23:23" hidden="1">
      <c r="W96" s="99"/>
    </row>
    <row r="97" spans="23:23" hidden="1">
      <c r="W97" s="99"/>
    </row>
    <row r="98" spans="23:23" hidden="1">
      <c r="W98" s="99"/>
    </row>
    <row r="99" spans="23:23" hidden="1">
      <c r="W99" s="99"/>
    </row>
    <row r="100" spans="23:23" hidden="1">
      <c r="W100" s="99"/>
    </row>
    <row r="101" spans="23:23" hidden="1">
      <c r="W101" s="99"/>
    </row>
    <row r="102" spans="23:23" hidden="1">
      <c r="W102" s="99"/>
    </row>
    <row r="103" spans="23:23" hidden="1">
      <c r="W103" s="99"/>
    </row>
    <row r="104" spans="23:23" hidden="1">
      <c r="W104" s="99"/>
    </row>
    <row r="105" spans="23:23" hidden="1">
      <c r="W105" s="99"/>
    </row>
    <row r="106" spans="23:23" hidden="1">
      <c r="W106" s="99"/>
    </row>
    <row r="107" spans="23:23" hidden="1">
      <c r="W107" s="99"/>
    </row>
    <row r="108" spans="23:23" hidden="1">
      <c r="W108" s="99"/>
    </row>
    <row r="109" spans="23:23" hidden="1">
      <c r="W109" s="99"/>
    </row>
    <row r="110" spans="23:23" hidden="1">
      <c r="W110" s="99"/>
    </row>
    <row r="111" spans="23:23" hidden="1">
      <c r="W111" s="99"/>
    </row>
    <row r="112" spans="23:23" hidden="1">
      <c r="W112" s="99"/>
    </row>
    <row r="113" spans="23:23" hidden="1">
      <c r="W113" s="99"/>
    </row>
    <row r="114" spans="23:23" hidden="1">
      <c r="W114" s="99"/>
    </row>
    <row r="115" spans="23:23" hidden="1">
      <c r="W115" s="99"/>
    </row>
    <row r="116" spans="23:23" hidden="1">
      <c r="W116" s="99"/>
    </row>
    <row r="117" spans="23:23" hidden="1"/>
    <row r="118" spans="23:23" hidden="1"/>
    <row r="119" spans="23:23" hidden="1"/>
    <row r="120" spans="23:23" hidden="1"/>
    <row r="121" spans="23:23" hidden="1"/>
    <row r="122" spans="23:23" hidden="1"/>
    <row r="123" spans="23:23" hidden="1"/>
    <row r="124" spans="23:23" hidden="1"/>
    <row r="125" spans="23:23" hidden="1"/>
    <row r="126" spans="23:23" hidden="1"/>
    <row r="127" spans="23:23" hidden="1"/>
    <row r="128" spans="23:23" hidden="1"/>
  </sheetData>
  <sortState xmlns:xlrd2="http://schemas.microsoft.com/office/spreadsheetml/2017/richdata2" ref="A23:V75">
    <sortCondition ref="B1"/>
  </sortState>
  <mergeCells count="2">
    <mergeCell ref="J1:K1"/>
    <mergeCell ref="L8:L10"/>
  </mergeCells>
  <phoneticPr fontId="2" type="noConversion"/>
  <conditionalFormatting sqref="J2:K23 J25:K43">
    <cfRule type="cellIs" dxfId="174" priority="178" operator="equal">
      <formula>"/"</formula>
    </cfRule>
    <cfRule type="cellIs" dxfId="173" priority="179" operator="lessThan">
      <formula>0</formula>
    </cfRule>
    <cfRule type="cellIs" dxfId="172" priority="180" operator="greaterThan">
      <formula>0</formula>
    </cfRule>
  </conditionalFormatting>
  <conditionalFormatting sqref="F2:F23 F25:F43">
    <cfRule type="expression" dxfId="171" priority="174">
      <formula>$J$1="差距(UQ)"</formula>
    </cfRule>
  </conditionalFormatting>
  <conditionalFormatting sqref="G2:G23 G25:G43">
    <cfRule type="expression" dxfId="170" priority="173">
      <formula>$J$1="差距(Median)"</formula>
    </cfRule>
  </conditionalFormatting>
  <conditionalFormatting sqref="H2:H23 H25:H43">
    <cfRule type="expression" dxfId="169" priority="172">
      <formula>$J$1="差距(LQ)"</formula>
    </cfRule>
  </conditionalFormatting>
  <conditionalFormatting sqref="N2:N3 N21:N23 N5:N19 N25:N43">
    <cfRule type="cellIs" dxfId="168" priority="109" operator="equal">
      <formula>2</formula>
    </cfRule>
    <cfRule type="cellIs" dxfId="167" priority="110" operator="equal">
      <formula>1</formula>
    </cfRule>
    <cfRule type="cellIs" dxfId="166" priority="111" operator="equal">
      <formula>0</formula>
    </cfRule>
  </conditionalFormatting>
  <conditionalFormatting sqref="L2:L23 L25:L43">
    <cfRule type="cellIs" dxfId="165" priority="108" operator="lessThan">
      <formula>30</formula>
    </cfRule>
  </conditionalFormatting>
  <conditionalFormatting sqref="N20">
    <cfRule type="cellIs" dxfId="164" priority="22" operator="equal">
      <formula>2</formula>
    </cfRule>
    <cfRule type="cellIs" dxfId="163" priority="23" operator="equal">
      <formula>1</formula>
    </cfRule>
    <cfRule type="cellIs" dxfId="162" priority="24" operator="equal">
      <formula>0</formula>
    </cfRule>
  </conditionalFormatting>
  <conditionalFormatting sqref="N4">
    <cfRule type="cellIs" dxfId="161" priority="19" operator="equal">
      <formula>2</formula>
    </cfRule>
    <cfRule type="cellIs" dxfId="160" priority="20" operator="equal">
      <formula>1</formula>
    </cfRule>
    <cfRule type="cellIs" dxfId="159" priority="21" operator="equal">
      <formula>0</formula>
    </cfRule>
  </conditionalFormatting>
  <conditionalFormatting sqref="L24">
    <cfRule type="cellIs" dxfId="158" priority="1" operator="lessThan">
      <formula>30</formula>
    </cfRule>
  </conditionalFormatting>
  <conditionalFormatting sqref="F24">
    <cfRule type="expression" dxfId="157" priority="10">
      <formula>$J$1="差距(UQ)"</formula>
    </cfRule>
  </conditionalFormatting>
  <conditionalFormatting sqref="G24">
    <cfRule type="expression" dxfId="156" priority="9">
      <formula>$J$1="差距(Median)"</formula>
    </cfRule>
  </conditionalFormatting>
  <conditionalFormatting sqref="H24">
    <cfRule type="expression" dxfId="155" priority="8">
      <formula>$J$1="差距(LQ)"</formula>
    </cfRule>
  </conditionalFormatting>
  <conditionalFormatting sqref="J24:K24">
    <cfRule type="cellIs" dxfId="154" priority="5" operator="equal">
      <formula>"/"</formula>
    </cfRule>
    <cfRule type="cellIs" dxfId="153" priority="6" operator="lessThan">
      <formula>0</formula>
    </cfRule>
    <cfRule type="cellIs" dxfId="152" priority="7" operator="greaterThan">
      <formula>0</formula>
    </cfRule>
  </conditionalFormatting>
  <conditionalFormatting sqref="N24">
    <cfRule type="cellIs" dxfId="151" priority="2" operator="equal">
      <formula>2</formula>
    </cfRule>
    <cfRule type="cellIs" dxfId="150" priority="3" operator="equal">
      <formula>1</formula>
    </cfRule>
    <cfRule type="cellIs" dxfId="149" priority="4" operator="equal">
      <formula>0</formula>
    </cfRule>
  </conditionalFormatting>
  <hyperlinks>
    <hyperlink ref="A49" r:id="rId1" display="https://aal.hku.hk/admissions/local/sites/default/files/2019 Admissions Score.pdf" xr:uid="{CE76BA7D-6A4C-4B6B-805F-7D485F745713}"/>
    <hyperlink ref="A55" r:id="rId2" xr:uid="{6C59C12D-D6B1-443B-99A2-0D43186390F0}"/>
    <hyperlink ref="A50" r:id="rId3" xr:uid="{2B458E12-C378-4BDD-A0C2-13B71619D0F4}"/>
    <hyperlink ref="A52" r:id="rId4" display="https://aal.hku.hk/sites/default/files/2019 Programme Admissions Information.pdf" xr:uid="{5018E29C-DA33-476A-906B-25C055FC5C9F}"/>
    <hyperlink ref="A51" r:id="rId5" display="https://aal.hku.hk/admissions/cms/sites/default/files/2020 Programme Admissions Information.pdf" xr:uid="{1330D682-A502-4578-B805-337E82065914}"/>
  </hyperlinks>
  <pageMargins left="0.7" right="0.7" top="0.75" bottom="0.75" header="0.3" footer="0.3"/>
  <legacyDrawing r:id="rId6"/>
  <extLst>
    <ext xmlns:x14="http://schemas.microsoft.com/office/spreadsheetml/2009/9/main" uri="{78C0D931-6437-407d-A8EE-F0AAD7539E65}">
      <x14:conditionalFormattings>
        <x14:conditionalFormatting xmlns:xm="http://schemas.microsoft.com/office/excel/2006/main">
          <x14:cfRule type="cellIs" priority="169" operator="lessThan" id="{688AFCC0-0839-4865-B48A-95D0891FC730}">
            <xm:f>計分版!$D$4</xm:f>
            <x14:dxf>
              <font>
                <color rgb="FF006100"/>
              </font>
              <fill>
                <patternFill>
                  <bgColor rgb="FFC6EFCE"/>
                </patternFill>
              </fill>
            </x14:dxf>
          </x14:cfRule>
          <xm:sqref>Q2:Q12</xm:sqref>
        </x14:conditionalFormatting>
        <x14:conditionalFormatting xmlns:xm="http://schemas.microsoft.com/office/excel/2006/main">
          <x14:cfRule type="cellIs" priority="37" operator="lessThan" id="{F1BD8AB2-DD75-4FEF-8985-2C7218170AD9}">
            <xm:f>計分版!$D$4</xm:f>
            <x14:dxf>
              <font>
                <color rgb="FF006100"/>
              </font>
              <fill>
                <patternFill>
                  <bgColor rgb="FFC6EFCE"/>
                </patternFill>
              </fill>
            </x14:dxf>
          </x14:cfRule>
          <xm:sqref>Q13:Q43</xm:sqref>
        </x14:conditionalFormatting>
        <x14:conditionalFormatting xmlns:xm="http://schemas.microsoft.com/office/excel/2006/main">
          <x14:cfRule type="cellIs" priority="306" operator="greaterThan" id="{A5F15184-6E13-4DD9-A44B-9F258F8A29D3}">
            <xm:f>計分版!$C$13</xm:f>
            <x14:dxf>
              <font>
                <color rgb="FF9C0006"/>
              </font>
              <fill>
                <patternFill>
                  <bgColor rgb="FFFFC7CE"/>
                </patternFill>
              </fill>
            </x14:dxf>
          </x14:cfRule>
          <x14:cfRule type="cellIs" priority="307" operator="lessThan" id="{6D21D49A-B08F-41EC-9D98-343340190DD6}">
            <xm:f>計分版!$C$13</xm:f>
            <x14:dxf>
              <font>
                <color rgb="FF006100"/>
              </font>
              <fill>
                <patternFill>
                  <bgColor rgb="FFC6EFCE"/>
                </patternFill>
              </fill>
            </x14:dxf>
          </x14:cfRule>
          <xm:sqref>P2:P12</xm:sqref>
        </x14:conditionalFormatting>
        <x14:conditionalFormatting xmlns:xm="http://schemas.microsoft.com/office/excel/2006/main">
          <x14:cfRule type="cellIs" priority="308" operator="greaterThan" id="{D16F2BAD-3B08-4975-BA2D-FE14AEB2A0A1}">
            <xm:f>計分版!$D$13</xm:f>
            <x14:dxf>
              <font>
                <color rgb="FF9C0006"/>
              </font>
              <fill>
                <patternFill>
                  <bgColor rgb="FFFFC7CE"/>
                </patternFill>
              </fill>
            </x14:dxf>
          </x14:cfRule>
          <xm:sqref>Q2:Q12</xm:sqref>
        </x14:conditionalFormatting>
        <x14:conditionalFormatting xmlns:xm="http://schemas.microsoft.com/office/excel/2006/main">
          <x14:cfRule type="cellIs" priority="309" operator="lessThan" id="{0180CFF7-EA35-4689-9796-56B4F942F41B}">
            <xm:f>計分版!$E$13</xm:f>
            <x14:dxf>
              <font>
                <color rgb="FF006100"/>
              </font>
              <fill>
                <patternFill>
                  <bgColor rgb="FFC6EFCE"/>
                </patternFill>
              </fill>
            </x14:dxf>
          </x14:cfRule>
          <x14:cfRule type="cellIs" priority="310" operator="greaterThan" id="{ABE3F089-3E63-4CC3-9E8D-0D11582B83B3}">
            <xm:f>計分版!$E$13</xm:f>
            <x14:dxf>
              <font>
                <color rgb="FF9C0006"/>
              </font>
              <fill>
                <patternFill>
                  <bgColor rgb="FFFFC7CE"/>
                </patternFill>
              </fill>
            </x14:dxf>
          </x14:cfRule>
          <xm:sqref>R2:R12</xm:sqref>
        </x14:conditionalFormatting>
        <x14:conditionalFormatting xmlns:xm="http://schemas.microsoft.com/office/excel/2006/main">
          <x14:cfRule type="cellIs" priority="311" operator="lessThan" id="{AA0EEB13-0B06-4656-A406-2E5FB9BB8BC8}">
            <xm:f>計分版!$F$13</xm:f>
            <x14:dxf>
              <font>
                <color rgb="FF006100"/>
              </font>
              <fill>
                <patternFill>
                  <bgColor rgb="FFC6EFCE"/>
                </patternFill>
              </fill>
            </x14:dxf>
          </x14:cfRule>
          <x14:cfRule type="cellIs" priority="312" operator="greaterThan" id="{0FE508E3-3B81-4544-BBF6-8E53AEA118A6}">
            <xm:f>計分版!$F$13</xm:f>
            <x14:dxf>
              <font>
                <color rgb="FF9C0006"/>
              </font>
              <fill>
                <patternFill>
                  <bgColor rgb="FFFFC7CE"/>
                </patternFill>
              </fill>
            </x14:dxf>
          </x14:cfRule>
          <xm:sqref>S2:S12</xm:sqref>
        </x14:conditionalFormatting>
        <x14:conditionalFormatting xmlns:xm="http://schemas.microsoft.com/office/excel/2006/main">
          <x14:cfRule type="cellIs" priority="320" operator="greaterThan" id="{CD54492A-EEA3-42E1-B6C0-EB3DB10539AA}">
            <xm:f>LARGE(計分版!$G$13:$L$13,2)</xm:f>
            <x14:dxf>
              <font>
                <color rgb="FF9C0006"/>
              </font>
              <fill>
                <patternFill>
                  <bgColor rgb="FFFFC7CE"/>
                </patternFill>
              </fill>
            </x14:dxf>
          </x14:cfRule>
          <x14:cfRule type="cellIs" priority="321" operator="lessThan" id="{0E3E035B-FD35-4BA3-9DDE-92B7EA0DAA83}">
            <xm:f>LARGE(計分版!$G$13:$L$13,2)</xm:f>
            <x14:dxf>
              <font>
                <color rgb="FF006100"/>
              </font>
              <fill>
                <patternFill>
                  <bgColor rgb="FFC6EFCE"/>
                </patternFill>
              </fill>
            </x14:dxf>
          </x14:cfRule>
          <xm:sqref>U2:U10 U12</xm:sqref>
        </x14:conditionalFormatting>
        <x14:conditionalFormatting xmlns:xm="http://schemas.microsoft.com/office/excel/2006/main">
          <x14:cfRule type="cellIs" priority="315" operator="lessThan" id="{D3A3BCCE-8191-4B46-96E5-8B26552E5807}">
            <xm:f>LARGE(計分版!$G$13:$L$13,1)</xm:f>
            <x14:dxf>
              <font>
                <color rgb="FF006100"/>
              </font>
              <fill>
                <patternFill>
                  <bgColor rgb="FFC6EFCE"/>
                </patternFill>
              </fill>
            </x14:dxf>
          </x14:cfRule>
          <x14:cfRule type="cellIs" priority="316" operator="greaterThan" id="{4BA59894-4440-40E4-9AF6-D94784630AB7}">
            <xm:f>LARGE(計分版!$G$13:$L$13,1)</xm:f>
            <x14:dxf>
              <font>
                <color rgb="FF9C0006"/>
              </font>
              <fill>
                <patternFill>
                  <bgColor rgb="FFFFC7CE"/>
                </patternFill>
              </fill>
            </x14:dxf>
          </x14:cfRule>
          <xm:sqref>T2:T10 T12</xm:sqref>
        </x14:conditionalFormatting>
        <x14:conditionalFormatting xmlns:xm="http://schemas.microsoft.com/office/excel/2006/main">
          <x14:cfRule type="expression" priority="36" id="{465C8AC8-3989-4C6D-A588-A542AD90BCED}">
            <xm:f>計分版!$P$23=0</xm:f>
            <x14:dxf>
              <font>
                <color rgb="FF9C0006"/>
              </font>
              <fill>
                <patternFill>
                  <bgColor rgb="FFFFC7CE"/>
                </patternFill>
              </fill>
            </x14:dxf>
          </x14:cfRule>
          <xm:sqref>T15</xm:sqref>
        </x14:conditionalFormatting>
        <x14:conditionalFormatting xmlns:xm="http://schemas.microsoft.com/office/excel/2006/main">
          <x14:cfRule type="expression" priority="35" id="{49C6C761-A1CC-4012-AC60-F7C606B4067D}">
            <xm:f>計分版!$P$23=0</xm:f>
            <x14:dxf>
              <font>
                <color rgb="FF9C0006"/>
              </font>
              <fill>
                <patternFill>
                  <bgColor rgb="FFFFC7CE"/>
                </patternFill>
              </fill>
            </x14:dxf>
          </x14:cfRule>
          <xm:sqref>T19</xm:sqref>
        </x14:conditionalFormatting>
        <x14:conditionalFormatting xmlns:xm="http://schemas.microsoft.com/office/excel/2006/main">
          <x14:cfRule type="expression" priority="34" id="{DEE74D68-EF89-47E8-AD17-57B70B9D055C}">
            <xm:f>計分版!$P$23=0</xm:f>
            <x14:dxf>
              <font>
                <color rgb="FF9C0006"/>
              </font>
              <fill>
                <patternFill>
                  <bgColor rgb="FFFFC7CE"/>
                </patternFill>
              </fill>
            </x14:dxf>
          </x14:cfRule>
          <xm:sqref>T20</xm:sqref>
        </x14:conditionalFormatting>
        <x14:conditionalFormatting xmlns:xm="http://schemas.microsoft.com/office/excel/2006/main">
          <x14:cfRule type="expression" priority="33" id="{A06773B1-B8B6-4002-9E7A-C1E52B8A5E29}">
            <xm:f>計分版!$P$23=0</xm:f>
            <x14:dxf>
              <font>
                <color rgb="FF9C0006"/>
              </font>
              <fill>
                <patternFill>
                  <bgColor rgb="FFFFC7CE"/>
                </patternFill>
              </fill>
            </x14:dxf>
          </x14:cfRule>
          <xm:sqref>T30</xm:sqref>
        </x14:conditionalFormatting>
        <x14:conditionalFormatting xmlns:xm="http://schemas.microsoft.com/office/excel/2006/main">
          <x14:cfRule type="expression" priority="32" id="{F4F53BC7-DC35-4D22-A484-04277CA0EC05}">
            <xm:f>計分版!$P$23=0</xm:f>
            <x14:dxf>
              <font>
                <color rgb="FF9C0006"/>
              </font>
              <fill>
                <patternFill>
                  <bgColor rgb="FFFFC7CE"/>
                </patternFill>
              </fill>
            </x14:dxf>
          </x14:cfRule>
          <xm:sqref>T34</xm:sqref>
        </x14:conditionalFormatting>
        <x14:conditionalFormatting xmlns:xm="http://schemas.microsoft.com/office/excel/2006/main">
          <x14:cfRule type="expression" priority="31" stopIfTrue="1" id="{940376C3-1650-4732-9663-23C58BA69A83}">
            <xm:f>計分版!$P$29=0</xm:f>
            <x14:dxf>
              <font>
                <color rgb="FF9C0006"/>
              </font>
              <fill>
                <patternFill>
                  <bgColor rgb="FFFFC7CE"/>
                </patternFill>
              </fill>
            </x14:dxf>
          </x14:cfRule>
          <xm:sqref>T28</xm:sqref>
        </x14:conditionalFormatting>
        <x14:conditionalFormatting xmlns:xm="http://schemas.microsoft.com/office/excel/2006/main">
          <x14:cfRule type="expression" priority="30" stopIfTrue="1" id="{3B7E80D8-5966-4997-9853-F0875A94B7DF}">
            <xm:f>計分版!$P$29=0</xm:f>
            <x14:dxf>
              <font>
                <color rgb="FF9C0006"/>
              </font>
              <fill>
                <patternFill>
                  <bgColor rgb="FFFFC7CE"/>
                </patternFill>
              </fill>
            </x14:dxf>
          </x14:cfRule>
          <xm:sqref>T31</xm:sqref>
        </x14:conditionalFormatting>
        <x14:conditionalFormatting xmlns:xm="http://schemas.microsoft.com/office/excel/2006/main">
          <x14:cfRule type="expression" priority="29" stopIfTrue="1" id="{4D636F35-BE8E-43F3-8A22-BB58B234467D}">
            <xm:f>計分版!$R$214=0</xm:f>
            <x14:dxf>
              <font>
                <color rgb="FF9C0006"/>
              </font>
              <fill>
                <patternFill>
                  <bgColor rgb="FFFFC7CE"/>
                </patternFill>
              </fill>
            </x14:dxf>
          </x14:cfRule>
          <xm:sqref>T32</xm:sqref>
        </x14:conditionalFormatting>
        <x14:conditionalFormatting xmlns:xm="http://schemas.microsoft.com/office/excel/2006/main">
          <x14:cfRule type="expression" priority="28" stopIfTrue="1" id="{A04A106C-BB0E-43F9-9D79-22B094B6958E}">
            <xm:f>計分版!$P$27=0</xm:f>
            <x14:dxf>
              <font>
                <color rgb="FF9C0006"/>
              </font>
              <fill>
                <patternFill>
                  <bgColor rgb="FFFFC7CE"/>
                </patternFill>
              </fill>
            </x14:dxf>
          </x14:cfRule>
          <xm:sqref>T22</xm:sqref>
        </x14:conditionalFormatting>
        <x14:conditionalFormatting xmlns:xm="http://schemas.microsoft.com/office/excel/2006/main">
          <x14:cfRule type="expression" priority="27" stopIfTrue="1" id="{A78BB33D-7CBD-443C-9A37-E1CC0E6F9E82}">
            <xm:f>計分版!$P$27=0</xm:f>
            <x14:dxf>
              <font>
                <color rgb="FF9C0006"/>
              </font>
              <fill>
                <patternFill>
                  <bgColor rgb="FFFFC7CE"/>
                </patternFill>
              </fill>
            </x14:dxf>
          </x14:cfRule>
          <xm:sqref>T23</xm:sqref>
        </x14:conditionalFormatting>
        <x14:conditionalFormatting xmlns:xm="http://schemas.microsoft.com/office/excel/2006/main">
          <x14:cfRule type="expression" priority="26" stopIfTrue="1" id="{4B2E659C-1EEE-42F2-BCDD-BA0010F7F755}">
            <xm:f>計分版!$P$27=0</xm:f>
            <x14:dxf>
              <font>
                <color rgb="FF9C0006"/>
              </font>
              <fill>
                <patternFill>
                  <bgColor rgb="FFFFC7CE"/>
                </patternFill>
              </fill>
            </x14:dxf>
          </x14:cfRule>
          <xm:sqref>T24</xm:sqref>
        </x14:conditionalFormatting>
        <x14:conditionalFormatting xmlns:xm="http://schemas.microsoft.com/office/excel/2006/main">
          <x14:cfRule type="expression" priority="25" stopIfTrue="1" id="{E5D39887-4CFC-43E7-9911-AB658C8044DE}">
            <xm:f>計分版!$P$27=0</xm:f>
            <x14:dxf>
              <font>
                <color rgb="FF9C0006"/>
              </font>
              <fill>
                <patternFill>
                  <bgColor rgb="FFFFC7CE"/>
                </patternFill>
              </fill>
            </x14:dxf>
          </x14:cfRule>
          <xm:sqref>T25</xm:sqref>
        </x14:conditionalFormatting>
        <x14:conditionalFormatting xmlns:xm="http://schemas.microsoft.com/office/excel/2006/main">
          <x14:cfRule type="cellIs" priority="38" operator="greaterThan" id="{0FFD5BF9-0AD7-4465-922B-54CBEE84F188}">
            <xm:f>計分版!$C$13</xm:f>
            <x14:dxf>
              <font>
                <color rgb="FF9C0006"/>
              </font>
              <fill>
                <patternFill>
                  <bgColor rgb="FFFFC7CE"/>
                </patternFill>
              </fill>
            </x14:dxf>
          </x14:cfRule>
          <x14:cfRule type="cellIs" priority="39" operator="lessThan" id="{2932C380-E790-41AF-B7D7-C2DDBA424091}">
            <xm:f>計分版!$C$13</xm:f>
            <x14:dxf>
              <font>
                <color rgb="FF006100"/>
              </font>
              <fill>
                <patternFill>
                  <bgColor rgb="FFC6EFCE"/>
                </patternFill>
              </fill>
            </x14:dxf>
          </x14:cfRule>
          <xm:sqref>P13:P43</xm:sqref>
        </x14:conditionalFormatting>
        <x14:conditionalFormatting xmlns:xm="http://schemas.microsoft.com/office/excel/2006/main">
          <x14:cfRule type="cellIs" priority="40" operator="greaterThan" id="{24706738-225C-463E-A582-4898083DB300}">
            <xm:f>計分版!$D$13</xm:f>
            <x14:dxf>
              <font>
                <color rgb="FF9C0006"/>
              </font>
              <fill>
                <patternFill>
                  <bgColor rgb="FFFFC7CE"/>
                </patternFill>
              </fill>
            </x14:dxf>
          </x14:cfRule>
          <xm:sqref>Q13:Q43</xm:sqref>
        </x14:conditionalFormatting>
        <x14:conditionalFormatting xmlns:xm="http://schemas.microsoft.com/office/excel/2006/main">
          <x14:cfRule type="cellIs" priority="41" operator="lessThan" id="{1F791D72-2AA7-485F-BB74-97A6C9FE0E64}">
            <xm:f>計分版!$E$13</xm:f>
            <x14:dxf>
              <font>
                <color rgb="FF006100"/>
              </font>
              <fill>
                <patternFill>
                  <bgColor rgb="FFC6EFCE"/>
                </patternFill>
              </fill>
            </x14:dxf>
          </x14:cfRule>
          <x14:cfRule type="cellIs" priority="42" operator="greaterThan" id="{76CFA7B9-F3D8-4284-AA54-4271AE9BE86E}">
            <xm:f>計分版!$E$13</xm:f>
            <x14:dxf>
              <font>
                <color rgb="FF9C0006"/>
              </font>
              <fill>
                <patternFill>
                  <bgColor rgb="FFFFC7CE"/>
                </patternFill>
              </fill>
            </x14:dxf>
          </x14:cfRule>
          <xm:sqref>R13:R43</xm:sqref>
        </x14:conditionalFormatting>
        <x14:conditionalFormatting xmlns:xm="http://schemas.microsoft.com/office/excel/2006/main">
          <x14:cfRule type="cellIs" priority="43" operator="lessThan" id="{41DF3430-B0F7-4E5D-86B1-1C7E593F097F}">
            <xm:f>計分版!$F$13</xm:f>
            <x14:dxf>
              <font>
                <color rgb="FF006100"/>
              </font>
              <fill>
                <patternFill>
                  <bgColor rgb="FFC6EFCE"/>
                </patternFill>
              </fill>
            </x14:dxf>
          </x14:cfRule>
          <x14:cfRule type="cellIs" priority="44" operator="greaterThan" id="{047FB5EE-AF58-4B63-B6DF-8FA1A05F01FA}">
            <xm:f>計分版!$F$13</xm:f>
            <x14:dxf>
              <font>
                <color rgb="FF9C0006"/>
              </font>
              <fill>
                <patternFill>
                  <bgColor rgb="FFFFC7CE"/>
                </patternFill>
              </fill>
            </x14:dxf>
          </x14:cfRule>
          <xm:sqref>S13:S43</xm:sqref>
        </x14:conditionalFormatting>
        <x14:conditionalFormatting xmlns:xm="http://schemas.microsoft.com/office/excel/2006/main">
          <x14:cfRule type="cellIs" priority="49" operator="greaterThan" id="{512B2CF2-8D36-42FA-A4D7-E29779695906}">
            <xm:f>LARGE(計分版!$G$13:$L$13,2)</xm:f>
            <x14:dxf>
              <font>
                <color rgb="FF9C0006"/>
              </font>
              <fill>
                <patternFill>
                  <bgColor rgb="FFFFC7CE"/>
                </patternFill>
              </fill>
            </x14:dxf>
          </x14:cfRule>
          <x14:cfRule type="cellIs" priority="50" operator="lessThan" id="{3DB92B0F-6014-4836-A5FB-581E0581C129}">
            <xm:f>LARGE(計分版!$G$13:$L$13,2)</xm:f>
            <x14:dxf>
              <font>
                <color rgb="FF006100"/>
              </font>
              <fill>
                <patternFill>
                  <bgColor rgb="FFC6EFCE"/>
                </patternFill>
              </fill>
            </x14:dxf>
          </x14:cfRule>
          <xm:sqref>U13:U43</xm:sqref>
        </x14:conditionalFormatting>
        <x14:conditionalFormatting xmlns:xm="http://schemas.microsoft.com/office/excel/2006/main">
          <x14:cfRule type="cellIs" priority="47" operator="lessThan" id="{A780F0A4-50AE-4C5F-BE6D-1F179FC4D1BB}">
            <xm:f>LARGE(計分版!$G$13:$L$13,1)</xm:f>
            <x14:dxf>
              <font>
                <color rgb="FF006100"/>
              </font>
              <fill>
                <patternFill>
                  <bgColor rgb="FFC6EFCE"/>
                </patternFill>
              </fill>
            </x14:dxf>
          </x14:cfRule>
          <x14:cfRule type="cellIs" priority="48" operator="greaterThan" id="{800AD179-2B3D-463B-868F-755E4C68903B}">
            <xm:f>LARGE(計分版!$G$13:$L$13,1)</xm:f>
            <x14:dxf>
              <font>
                <color rgb="FF9C0006"/>
              </font>
              <fill>
                <patternFill>
                  <bgColor rgb="FFFFC7CE"/>
                </patternFill>
              </fill>
            </x14:dxf>
          </x14:cfRule>
          <xm:sqref>T13:T43</xm:sqref>
        </x14:conditionalFormatting>
        <x14:conditionalFormatting xmlns:xm="http://schemas.microsoft.com/office/excel/2006/main">
          <x14:cfRule type="expression" priority="46" id="{B4AD64B6-ED5E-413A-B632-05802C1318B8}">
            <xm:f>計分版!$G$13&lt;3</xm:f>
            <x14:dxf>
              <font>
                <color rgb="FF9C5700"/>
              </font>
              <fill>
                <patternFill>
                  <bgColor rgb="FFFFEB9C"/>
                </patternFill>
              </fill>
            </x14:dxf>
          </x14:cfRule>
          <xm:sqref>U22:U25 U39</xm:sqref>
        </x14:conditionalFormatting>
        <x14:conditionalFormatting xmlns:xm="http://schemas.microsoft.com/office/excel/2006/main">
          <x14:cfRule type="expression" priority="45" stopIfTrue="1" id="{AD1E6A9D-8E64-4FA6-AD22-ABC83C576BD9}">
            <xm:f>計分版!$G$13&lt;3</xm:f>
            <x14:dxf>
              <font>
                <color rgb="FF9C0006"/>
              </font>
              <fill>
                <patternFill>
                  <bgColor rgb="FFFFC7CE"/>
                </patternFill>
              </fill>
            </x14:dxf>
          </x14:cfRule>
          <xm:sqref>U13 U33 U40 U42</xm:sqref>
        </x14:conditionalFormatting>
        <x14:conditionalFormatting xmlns:xm="http://schemas.microsoft.com/office/excel/2006/main">
          <x14:cfRule type="expression" priority="51" stopIfTrue="1" id="{029AF95D-B75F-4340-A5AB-BC8F3672073D}">
            <xm:f>計分版!$D$13=4.0000000002</xm:f>
            <x14:dxf>
              <font>
                <color rgb="FF9C5700"/>
              </font>
              <fill>
                <patternFill>
                  <bgColor rgb="FFFFEB9C"/>
                </patternFill>
              </fill>
            </x14:dxf>
          </x14:cfRule>
          <xm:sqref>Q39:Q43</xm:sqref>
        </x14:conditionalFormatting>
        <x14:conditionalFormatting xmlns:xm="http://schemas.microsoft.com/office/excel/2006/main">
          <x14:cfRule type="cellIs" priority="14" operator="greaterThan" id="{DBC48F25-93DA-4DC3-AE47-4924E3C93CA8}">
            <xm:f>LARGE(計分版!$G$13:$L$13,2)</xm:f>
            <x14:dxf>
              <font>
                <color rgb="FF9C0006"/>
              </font>
              <fill>
                <patternFill>
                  <bgColor rgb="FFFFC7CE"/>
                </patternFill>
              </fill>
            </x14:dxf>
          </x14:cfRule>
          <x14:cfRule type="cellIs" priority="15" operator="lessThan" id="{4479350F-11C4-4779-AA37-DC848B277693}">
            <xm:f>LARGE(計分版!$G$13:$L$13,2)</xm:f>
            <x14:dxf>
              <font>
                <color rgb="FF006100"/>
              </font>
              <fill>
                <patternFill>
                  <bgColor rgb="FFC6EFCE"/>
                </patternFill>
              </fill>
            </x14:dxf>
          </x14:cfRule>
          <xm:sqref>U11</xm:sqref>
        </x14:conditionalFormatting>
        <x14:conditionalFormatting xmlns:xm="http://schemas.microsoft.com/office/excel/2006/main">
          <x14:cfRule type="cellIs" priority="12" operator="lessThan" id="{311C78B8-F981-41CB-958E-D6D3FEECCB0C}">
            <xm:f>LARGE(計分版!$G$13:$L$13,1)</xm:f>
            <x14:dxf>
              <font>
                <color rgb="FF006100"/>
              </font>
              <fill>
                <patternFill>
                  <bgColor rgb="FFC6EFCE"/>
                </patternFill>
              </fill>
            </x14:dxf>
          </x14:cfRule>
          <x14:cfRule type="cellIs" priority="13" operator="greaterThan" id="{9B2CC105-F50E-4614-8944-ED37805A4866}">
            <xm:f>LARGE(計分版!$G$13:$L$13,1)</xm:f>
            <x14:dxf>
              <font>
                <color rgb="FF9C0006"/>
              </font>
              <fill>
                <patternFill>
                  <bgColor rgb="FFFFC7CE"/>
                </patternFill>
              </fill>
            </x14:dxf>
          </x14:cfRule>
          <xm:sqref>T11</xm:sqref>
        </x14:conditionalFormatting>
        <x14:conditionalFormatting xmlns:xm="http://schemas.microsoft.com/office/excel/2006/main">
          <x14:cfRule type="expression" priority="11" id="{83859A86-A0DE-4A69-BE59-5041430B8C62}">
            <xm:f>計分版!$G$13&lt;3</xm:f>
            <x14:dxf>
              <font>
                <color rgb="FF9C5700"/>
              </font>
              <fill>
                <patternFill>
                  <bgColor rgb="FFFFEB9C"/>
                </patternFill>
              </fill>
            </x14:dxf>
          </x14:cfRule>
          <xm:sqref>U11</xm:sqref>
        </x14:conditionalFormatting>
        <x14:conditionalFormatting xmlns:xm="http://schemas.microsoft.com/office/excel/2006/main">
          <x14:cfRule type="expression" priority="16" stopIfTrue="1" id="{97FA47F8-7058-4D6E-8248-EA392229E8BC}">
            <xm:f>計分版!$P$25=0</xm:f>
            <x14:dxf>
              <font>
                <color rgb="FF9C0006"/>
              </font>
              <fill>
                <patternFill>
                  <bgColor rgb="FFFFC7CE"/>
                </patternFill>
              </fill>
            </x14:dxf>
          </x14:cfRule>
          <x14:cfRule type="expression" priority="17" id="{A4AF9A54-1C34-48DD-B299-2494B4C9A244}">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綜合科學",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AND(計分版!$I$1="綜合科學",計分版!$I$13&gt;3),AND(計分版!$J$1="物理",計分版!$J$13&gt;3),AND(計分版!$J$1="生物",計分版!$J$13&gt;3),AND(計分版!$J$1="化學",計分版!$J$13&gt;3),AND(計分版!$J$1="組合科學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AND(計分版!$J$1="綜合科學",計分版!$J$13&gt;3),AND(計分版!$K$1="物理",計分版!$K$13&gt;3),AND(計分版!$K$1="生物",計分版!$K$13&gt;3),AND(計分版!$K$1="化學",計分版!$K$13&gt;3),AND(計分版!$K$1="組合科學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(生物、化學)",計分版!$K$13&gt;3),AND(計分版!$K$1="資訊及通訊科技",計分版!$K$13&gt;3),AND(計分版!$K$1="綜合科學",計分版!$K$13&gt;3))</xm:f>
            <x14:dxf>
              <font>
                <color rgb="FF006100"/>
              </font>
              <fill>
                <patternFill>
                  <bgColor rgb="FFC6EFCE"/>
                </patternFill>
              </fill>
            </x14:dxf>
          </x14:cfRule>
          <x14:cfRule type="expression" priority="18" stopIfTrue="1" id="{9E9C131D-83E9-4D13-96C0-51239C7B98F6}">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H$1="資訊及通訊科技",計分版!$H$13&lt;3),AND(計分版!$H$1="綜合科學",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 AND(計分版!$I$1="綜合科學",計分版!$I$13&lt;3),AND(計分版!$J$1="物理",計分版!$J$13&lt;3),AND(計分版!$J$1="生物",計分版!$J$13&lt;3),AND(計分版!$J$1="化學",計分版!$J$13&lt;3),AND(計分版!$J$1="組合科學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 AND(計分版!$J$1="綜合科學",計分版!$J$13&lt;3),AND(計分版!$K$1="物理",計分版!$K$13&lt;3),AND(計分版!$K$1="生物",計分版!$K$13&lt;3),AND(計分版!$K$1="化學",計分版!$K$13&lt;3),AND(計分版!$K$1="組合科學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(生物、化學)",計分版!$K$13&lt;3),AND(計分版!$K$1="資訊及通訊科技",計分版!$K$13&lt;3),AND(計分版!$K$1="綜合科學",計分版!$K$13&lt;3))</xm:f>
            <x14:dxf>
              <font>
                <color rgb="FF9C0006"/>
              </font>
              <fill>
                <patternFill>
                  <bgColor rgb="FFFFC7CE"/>
                </patternFill>
              </fill>
            </x14:dxf>
          </x14:cfRule>
          <xm:sqref>T11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1178A58-97C6-4C4B-8FB8-51D73FE0B820}">
          <x14:formula1>
            <xm:f>選單!$I$1:$I$3</xm:f>
          </x14:formula1>
          <xm:sqref>J1</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85ABB-C9A1-4C47-B7BF-0ADE3ACFA91A}">
  <dimension ref="A1:XFC80"/>
  <sheetViews>
    <sheetView zoomScaleNormal="100" workbookViewId="0">
      <selection activeCell="G3" sqref="G3"/>
    </sheetView>
  </sheetViews>
  <sheetFormatPr defaultColWidth="0" defaultRowHeight="13.5" zeroHeight="1"/>
  <cols>
    <col min="1" max="1" width="8" style="16" customWidth="1"/>
    <col min="2" max="2" width="9.25" style="16" customWidth="1"/>
    <col min="3" max="3" width="24.75" style="16" customWidth="1"/>
    <col min="4" max="4" width="20.375" style="16" hidden="1" customWidth="1"/>
    <col min="5" max="5" width="7.625" style="141" customWidth="1"/>
    <col min="6" max="6" width="8.375" style="141" customWidth="1"/>
    <col min="7" max="7" width="6.875" style="141" customWidth="1"/>
    <col min="8" max="8" width="7.625" style="16" customWidth="1"/>
    <col min="9" max="9" width="6.875" style="16" customWidth="1"/>
    <col min="10" max="10" width="8" style="16" customWidth="1"/>
    <col min="11" max="11" width="4.75" style="16" customWidth="1"/>
    <col min="12" max="12" width="4.625" style="16" hidden="1" customWidth="1"/>
    <col min="13" max="13" width="4" style="16" customWidth="1"/>
    <col min="14" max="14" width="8.625" style="16" customWidth="1"/>
    <col min="15" max="20" width="2.75" style="16" customWidth="1"/>
    <col min="21" max="23" width="8.875" style="16" customWidth="1"/>
    <col min="24" max="16383" width="8.875" style="16" hidden="1"/>
    <col min="16384" max="16384" width="4.875" style="16" hidden="1"/>
  </cols>
  <sheetData>
    <row r="1" spans="1:20" s="169" customFormat="1" ht="16.5" customHeight="1">
      <c r="A1" s="166" t="s">
        <v>228</v>
      </c>
      <c r="B1" s="166" t="s">
        <v>325</v>
      </c>
      <c r="C1" s="166" t="s">
        <v>400</v>
      </c>
      <c r="D1" s="166"/>
      <c r="E1" s="167" t="s">
        <v>229</v>
      </c>
      <c r="F1" s="167" t="s">
        <v>327</v>
      </c>
      <c r="G1" s="167" t="s">
        <v>328</v>
      </c>
      <c r="H1" s="167" t="s">
        <v>230</v>
      </c>
      <c r="I1" s="319" t="s">
        <v>396</v>
      </c>
      <c r="J1" s="319"/>
      <c r="K1" s="167" t="s">
        <v>394</v>
      </c>
      <c r="L1" s="168" t="s">
        <v>436</v>
      </c>
      <c r="M1" s="166" t="s">
        <v>414</v>
      </c>
      <c r="N1" s="167" t="s">
        <v>415</v>
      </c>
      <c r="O1" s="167" t="s">
        <v>405</v>
      </c>
      <c r="P1" s="167" t="s">
        <v>406</v>
      </c>
      <c r="Q1" s="167" t="s">
        <v>407</v>
      </c>
      <c r="R1" s="167" t="s">
        <v>408</v>
      </c>
      <c r="S1" s="167" t="s">
        <v>409</v>
      </c>
      <c r="T1" s="167"/>
    </row>
    <row r="2" spans="1:20" s="19" customFormat="1" ht="18" customHeight="1">
      <c r="A2" s="19" t="s">
        <v>1002</v>
      </c>
      <c r="B2" s="19" t="s">
        <v>1014</v>
      </c>
      <c r="C2" s="19" t="s">
        <v>967</v>
      </c>
      <c r="D2" s="19" t="s">
        <v>968</v>
      </c>
      <c r="E2" s="47" t="s">
        <v>214</v>
      </c>
      <c r="F2" s="21">
        <v>27.5</v>
      </c>
      <c r="G2" s="21">
        <v>26.5</v>
      </c>
      <c r="H2" s="230">
        <f>計分版!D290</f>
        <v>3.9500000000000006E-9</v>
      </c>
      <c r="I2" s="91">
        <f t="shared" ref="I2:I13" si="0">IF(I$1="差距(Median)",H2-F2,IF(I$1="差距(LQ)",H2-G2))</f>
        <v>-27.499999996050001</v>
      </c>
      <c r="J2" s="92">
        <f t="shared" ref="J2:J13" si="1">IF(I$1="差距(Median)",(H2-F2)/H2,IF(I$1="差距(LQ)",(H2-G2)/H2))</f>
        <v>-6962025315.4556952</v>
      </c>
      <c r="K2" s="142">
        <v>46</v>
      </c>
      <c r="L2" s="93"/>
      <c r="M2" s="24">
        <f>入學要求!S275</f>
        <v>0</v>
      </c>
      <c r="N2" s="47"/>
      <c r="O2" s="47">
        <v>3</v>
      </c>
      <c r="P2" s="47">
        <v>3</v>
      </c>
      <c r="Q2" s="47">
        <v>2</v>
      </c>
      <c r="R2" s="47">
        <v>2</v>
      </c>
      <c r="S2" s="47">
        <v>3</v>
      </c>
    </row>
    <row r="3" spans="1:20" s="170" customFormat="1" ht="18" customHeight="1">
      <c r="A3" s="170" t="s">
        <v>1013</v>
      </c>
      <c r="B3" s="170" t="s">
        <v>1015</v>
      </c>
      <c r="C3" s="170" t="s">
        <v>989</v>
      </c>
      <c r="D3" s="170" t="s">
        <v>990</v>
      </c>
      <c r="E3" s="171" t="s">
        <v>214</v>
      </c>
      <c r="F3" s="177">
        <v>23</v>
      </c>
      <c r="G3" s="177">
        <v>22</v>
      </c>
      <c r="H3" s="235">
        <f>計分版!D291</f>
        <v>3.9500000000000006E-9</v>
      </c>
      <c r="I3" s="172">
        <f t="shared" si="0"/>
        <v>-22.999999996050001</v>
      </c>
      <c r="J3" s="173">
        <f t="shared" si="1"/>
        <v>-5822784809.1265812</v>
      </c>
      <c r="K3" s="174">
        <v>20</v>
      </c>
      <c r="L3" s="175"/>
      <c r="M3" s="176">
        <f>入學要求!S276</f>
        <v>0</v>
      </c>
      <c r="N3" s="171"/>
      <c r="O3" s="171">
        <v>3</v>
      </c>
      <c r="P3" s="171">
        <v>3</v>
      </c>
      <c r="Q3" s="171">
        <v>2</v>
      </c>
      <c r="R3" s="171">
        <v>2</v>
      </c>
      <c r="S3" s="171">
        <v>3</v>
      </c>
      <c r="T3" s="171"/>
    </row>
    <row r="4" spans="1:20" s="19" customFormat="1" ht="18" customHeight="1">
      <c r="A4" s="19" t="s">
        <v>1009</v>
      </c>
      <c r="B4" s="19" t="s">
        <v>870</v>
      </c>
      <c r="C4" s="19" t="s">
        <v>981</v>
      </c>
      <c r="D4" s="19" t="s">
        <v>982</v>
      </c>
      <c r="E4" s="47" t="s">
        <v>214</v>
      </c>
      <c r="F4" s="21">
        <v>25.5</v>
      </c>
      <c r="G4" s="21">
        <v>25</v>
      </c>
      <c r="H4" s="230">
        <f>計分版!D292</f>
        <v>3.9500000000000006E-9</v>
      </c>
      <c r="I4" s="91">
        <f t="shared" si="0"/>
        <v>-25.499999996050001</v>
      </c>
      <c r="J4" s="92">
        <f t="shared" si="1"/>
        <v>-6455696201.5316448</v>
      </c>
      <c r="K4" s="244">
        <v>144</v>
      </c>
      <c r="L4" s="93"/>
      <c r="M4" s="24">
        <f>入學要求!S277</f>
        <v>0</v>
      </c>
      <c r="N4" s="47"/>
      <c r="O4" s="47">
        <v>3</v>
      </c>
      <c r="P4" s="47">
        <v>3</v>
      </c>
      <c r="Q4" s="47">
        <v>2</v>
      </c>
      <c r="R4" s="47">
        <v>2</v>
      </c>
      <c r="S4" s="47">
        <v>3</v>
      </c>
      <c r="T4" s="47"/>
    </row>
    <row r="5" spans="1:20" s="170" customFormat="1" ht="18" customHeight="1">
      <c r="A5" s="170" t="s">
        <v>1003</v>
      </c>
      <c r="B5" s="170" t="s">
        <v>1014</v>
      </c>
      <c r="C5" s="170" t="s">
        <v>969</v>
      </c>
      <c r="D5" s="170" t="s">
        <v>970</v>
      </c>
      <c r="E5" s="171" t="s">
        <v>214</v>
      </c>
      <c r="F5" s="177">
        <v>27</v>
      </c>
      <c r="G5" s="177">
        <v>26.5</v>
      </c>
      <c r="H5" s="235">
        <f>計分版!D293</f>
        <v>3.9500000000000006E-9</v>
      </c>
      <c r="I5" s="172">
        <f t="shared" si="0"/>
        <v>-26.999999996050001</v>
      </c>
      <c r="J5" s="173">
        <f t="shared" si="1"/>
        <v>-6835443036.9746828</v>
      </c>
      <c r="K5" s="174">
        <v>41</v>
      </c>
      <c r="L5" s="175"/>
      <c r="M5" s="176">
        <f>入學要求!S278</f>
        <v>0</v>
      </c>
      <c r="N5" s="171"/>
      <c r="O5" s="171">
        <v>3</v>
      </c>
      <c r="P5" s="171">
        <v>3</v>
      </c>
      <c r="Q5" s="171">
        <v>2</v>
      </c>
      <c r="R5" s="171">
        <v>2</v>
      </c>
      <c r="S5" s="171">
        <v>3</v>
      </c>
    </row>
    <row r="6" spans="1:20" s="19" customFormat="1" ht="18" customHeight="1">
      <c r="A6" s="19" t="s">
        <v>1010</v>
      </c>
      <c r="B6" s="19" t="s">
        <v>870</v>
      </c>
      <c r="C6" s="19" t="s">
        <v>983</v>
      </c>
      <c r="D6" s="19" t="s">
        <v>984</v>
      </c>
      <c r="E6" s="47" t="s">
        <v>214</v>
      </c>
      <c r="F6" s="21">
        <v>25</v>
      </c>
      <c r="G6" s="21">
        <v>25</v>
      </c>
      <c r="H6" s="230">
        <f>計分版!D294</f>
        <v>3.9500000000000006E-9</v>
      </c>
      <c r="I6" s="91">
        <f t="shared" si="0"/>
        <v>-24.999999996050001</v>
      </c>
      <c r="J6" s="92">
        <f t="shared" si="1"/>
        <v>-6329113923.0506325</v>
      </c>
      <c r="K6" s="142">
        <v>25</v>
      </c>
      <c r="L6" s="93"/>
      <c r="M6" s="24">
        <f>入學要求!S279</f>
        <v>0</v>
      </c>
      <c r="N6" s="47"/>
      <c r="O6" s="47">
        <v>3</v>
      </c>
      <c r="P6" s="47">
        <v>3</v>
      </c>
      <c r="Q6" s="47">
        <v>2</v>
      </c>
      <c r="R6" s="47">
        <v>2</v>
      </c>
      <c r="S6" s="47">
        <v>3</v>
      </c>
    </row>
    <row r="7" spans="1:20" s="170" customFormat="1" ht="18" customHeight="1">
      <c r="A7" s="170" t="s">
        <v>1011</v>
      </c>
      <c r="B7" s="170" t="s">
        <v>870</v>
      </c>
      <c r="C7" s="170" t="s">
        <v>985</v>
      </c>
      <c r="D7" s="170" t="s">
        <v>986</v>
      </c>
      <c r="E7" s="171" t="s">
        <v>214</v>
      </c>
      <c r="F7" s="177">
        <v>28</v>
      </c>
      <c r="G7" s="177">
        <v>27</v>
      </c>
      <c r="H7" s="235">
        <f>計分版!D295</f>
        <v>3.9500000000000006E-9</v>
      </c>
      <c r="I7" s="172">
        <f t="shared" si="0"/>
        <v>-27.999999996050001</v>
      </c>
      <c r="J7" s="173">
        <f t="shared" si="1"/>
        <v>-7088607593.9367075</v>
      </c>
      <c r="K7" s="174">
        <v>25</v>
      </c>
      <c r="L7" s="175"/>
      <c r="M7" s="176">
        <f>入學要求!S280</f>
        <v>0</v>
      </c>
      <c r="N7" s="171"/>
      <c r="O7" s="171">
        <v>3</v>
      </c>
      <c r="P7" s="171">
        <v>3</v>
      </c>
      <c r="Q7" s="171">
        <v>2</v>
      </c>
      <c r="R7" s="171">
        <v>2</v>
      </c>
      <c r="S7" s="171">
        <v>3</v>
      </c>
    </row>
    <row r="8" spans="1:20" s="19" customFormat="1" ht="18" customHeight="1">
      <c r="A8" s="19" t="s">
        <v>1012</v>
      </c>
      <c r="B8" s="19" t="s">
        <v>425</v>
      </c>
      <c r="C8" s="19" t="s">
        <v>987</v>
      </c>
      <c r="D8" s="19" t="s">
        <v>988</v>
      </c>
      <c r="E8" s="47" t="s">
        <v>214</v>
      </c>
      <c r="F8" s="21">
        <v>28</v>
      </c>
      <c r="G8" s="21">
        <v>27</v>
      </c>
      <c r="H8" s="230">
        <f>計分版!D296</f>
        <v>3.9500000000000006E-9</v>
      </c>
      <c r="I8" s="91">
        <f t="shared" si="0"/>
        <v>-27.999999996050001</v>
      </c>
      <c r="J8" s="92">
        <f t="shared" si="1"/>
        <v>-7088607593.9367075</v>
      </c>
      <c r="K8" s="142">
        <v>98</v>
      </c>
      <c r="L8" s="93"/>
      <c r="M8" s="24">
        <f>入學要求!S281</f>
        <v>0</v>
      </c>
      <c r="N8" s="47"/>
      <c r="O8" s="47">
        <v>3</v>
      </c>
      <c r="P8" s="47">
        <v>3</v>
      </c>
      <c r="Q8" s="47">
        <v>2</v>
      </c>
      <c r="R8" s="47">
        <v>2</v>
      </c>
      <c r="S8" s="47">
        <v>3</v>
      </c>
    </row>
    <row r="9" spans="1:20" s="170" customFormat="1" ht="18" customHeight="1">
      <c r="A9" s="170" t="s">
        <v>1004</v>
      </c>
      <c r="B9" s="170" t="s">
        <v>1014</v>
      </c>
      <c r="C9" s="170" t="s">
        <v>971</v>
      </c>
      <c r="D9" s="170" t="s">
        <v>972</v>
      </c>
      <c r="E9" s="171" t="s">
        <v>214</v>
      </c>
      <c r="F9" s="177">
        <v>26</v>
      </c>
      <c r="G9" s="177">
        <v>26</v>
      </c>
      <c r="H9" s="235">
        <f>計分版!D297</f>
        <v>3.9500000000000006E-9</v>
      </c>
      <c r="I9" s="172">
        <f t="shared" si="0"/>
        <v>-25.999999996050001</v>
      </c>
      <c r="J9" s="173">
        <f t="shared" si="1"/>
        <v>-6582278480.0126572</v>
      </c>
      <c r="K9" s="142">
        <v>29</v>
      </c>
      <c r="L9" s="175"/>
      <c r="M9" s="176">
        <f>入學要求!S282</f>
        <v>0</v>
      </c>
      <c r="N9" s="171"/>
      <c r="O9" s="171">
        <v>3</v>
      </c>
      <c r="P9" s="171">
        <v>3</v>
      </c>
      <c r="Q9" s="171">
        <v>2</v>
      </c>
      <c r="R9" s="171">
        <v>2</v>
      </c>
      <c r="S9" s="171">
        <v>3</v>
      </c>
    </row>
    <row r="10" spans="1:20" s="19" customFormat="1" ht="18" customHeight="1">
      <c r="A10" s="19" t="s">
        <v>1005</v>
      </c>
      <c r="B10" s="19" t="s">
        <v>1014</v>
      </c>
      <c r="C10" s="19" t="s">
        <v>973</v>
      </c>
      <c r="D10" s="19" t="s">
        <v>974</v>
      </c>
      <c r="E10" s="47" t="s">
        <v>214</v>
      </c>
      <c r="F10" s="21">
        <v>26</v>
      </c>
      <c r="G10" s="21">
        <v>26</v>
      </c>
      <c r="H10" s="230">
        <f>計分版!D298</f>
        <v>3.9500000000000006E-9</v>
      </c>
      <c r="I10" s="91">
        <f t="shared" si="0"/>
        <v>-25.999999996050001</v>
      </c>
      <c r="J10" s="92">
        <f t="shared" si="1"/>
        <v>-6582278480.0126572</v>
      </c>
      <c r="K10" s="174">
        <v>28</v>
      </c>
      <c r="L10" s="93"/>
      <c r="M10" s="24">
        <f>入學要求!S283</f>
        <v>0</v>
      </c>
      <c r="N10" s="47"/>
      <c r="O10" s="47">
        <v>3</v>
      </c>
      <c r="P10" s="47">
        <v>3</v>
      </c>
      <c r="Q10" s="47">
        <v>2</v>
      </c>
      <c r="R10" s="47">
        <v>2</v>
      </c>
      <c r="S10" s="47">
        <v>3</v>
      </c>
    </row>
    <row r="11" spans="1:20" s="170" customFormat="1" ht="18" customHeight="1">
      <c r="A11" s="170" t="s">
        <v>1006</v>
      </c>
      <c r="B11" s="170" t="s">
        <v>1014</v>
      </c>
      <c r="C11" s="170" t="s">
        <v>975</v>
      </c>
      <c r="D11" s="170" t="s">
        <v>976</v>
      </c>
      <c r="E11" s="171" t="s">
        <v>214</v>
      </c>
      <c r="F11" s="177">
        <v>27.3</v>
      </c>
      <c r="G11" s="177">
        <v>27.1</v>
      </c>
      <c r="H11" s="235">
        <f>計分版!D299</f>
        <v>3.9500000000000006E-9</v>
      </c>
      <c r="I11" s="172">
        <f t="shared" si="0"/>
        <v>-27.299999996050001</v>
      </c>
      <c r="J11" s="173">
        <f t="shared" si="1"/>
        <v>-6911392404.0632906</v>
      </c>
      <c r="K11" s="142">
        <v>31</v>
      </c>
      <c r="L11" s="175"/>
      <c r="M11" s="176">
        <f>入學要求!S284</f>
        <v>0</v>
      </c>
      <c r="N11" s="171"/>
      <c r="O11" s="171">
        <v>3</v>
      </c>
      <c r="P11" s="171">
        <v>3</v>
      </c>
      <c r="Q11" s="171">
        <v>2</v>
      </c>
      <c r="R11" s="171">
        <v>2</v>
      </c>
      <c r="S11" s="171">
        <v>3</v>
      </c>
    </row>
    <row r="12" spans="1:20" s="19" customFormat="1" ht="18" customHeight="1">
      <c r="A12" s="19" t="s">
        <v>1007</v>
      </c>
      <c r="B12" s="19" t="s">
        <v>1014</v>
      </c>
      <c r="C12" s="19" t="s">
        <v>977</v>
      </c>
      <c r="D12" s="19" t="s">
        <v>978</v>
      </c>
      <c r="E12" s="47" t="s">
        <v>214</v>
      </c>
      <c r="F12" s="21">
        <v>24</v>
      </c>
      <c r="G12" s="21">
        <v>23</v>
      </c>
      <c r="H12" s="230">
        <f>計分版!D300</f>
        <v>3.9500000000000006E-9</v>
      </c>
      <c r="I12" s="91">
        <f t="shared" si="0"/>
        <v>-23.999999996050001</v>
      </c>
      <c r="J12" s="92">
        <f t="shared" si="1"/>
        <v>-6075949366.0886068</v>
      </c>
      <c r="K12" s="174">
        <v>28</v>
      </c>
      <c r="L12" s="93"/>
      <c r="M12" s="24">
        <f>入學要求!S285</f>
        <v>0</v>
      </c>
      <c r="N12" s="47"/>
      <c r="O12" s="47">
        <v>3</v>
      </c>
      <c r="P12" s="47">
        <v>3</v>
      </c>
      <c r="Q12" s="47">
        <v>2</v>
      </c>
      <c r="R12" s="47">
        <v>2</v>
      </c>
      <c r="S12" s="47">
        <v>3</v>
      </c>
    </row>
    <row r="13" spans="1:20" s="170" customFormat="1" ht="18" customHeight="1">
      <c r="A13" s="170" t="s">
        <v>1008</v>
      </c>
      <c r="B13" s="170" t="s">
        <v>1014</v>
      </c>
      <c r="C13" s="170" t="s">
        <v>979</v>
      </c>
      <c r="D13" s="170" t="s">
        <v>980</v>
      </c>
      <c r="E13" s="171" t="s">
        <v>214</v>
      </c>
      <c r="F13" s="177">
        <v>24</v>
      </c>
      <c r="G13" s="177">
        <v>23.5</v>
      </c>
      <c r="H13" s="235">
        <f>計分版!D301</f>
        <v>3.9500000000000006E-9</v>
      </c>
      <c r="I13" s="172">
        <f t="shared" si="0"/>
        <v>-23.999999996050001</v>
      </c>
      <c r="J13" s="173">
        <f t="shared" si="1"/>
        <v>-6075949366.0886068</v>
      </c>
      <c r="K13" s="142">
        <v>26</v>
      </c>
      <c r="L13" s="175"/>
      <c r="M13" s="176">
        <f>入學要求!S286</f>
        <v>0</v>
      </c>
      <c r="N13" s="171"/>
      <c r="O13" s="171">
        <v>3</v>
      </c>
      <c r="P13" s="171">
        <v>3</v>
      </c>
      <c r="Q13" s="171">
        <v>2</v>
      </c>
      <c r="R13" s="171">
        <v>2</v>
      </c>
      <c r="S13" s="171">
        <v>3</v>
      </c>
    </row>
    <row r="14" spans="1:20" s="19" customFormat="1">
      <c r="E14" s="47"/>
      <c r="F14" s="47"/>
      <c r="G14" s="47"/>
    </row>
    <row r="15" spans="1:20" s="19" customFormat="1">
      <c r="A15" s="19" t="s">
        <v>1186</v>
      </c>
      <c r="E15" s="142"/>
      <c r="F15" s="47"/>
      <c r="G15" s="47"/>
      <c r="H15" s="47"/>
      <c r="I15" s="63"/>
      <c r="J15" s="64"/>
      <c r="K15" s="47"/>
      <c r="L15" s="65"/>
      <c r="N15" s="47"/>
      <c r="O15" s="47"/>
      <c r="P15" s="47"/>
      <c r="Q15" s="47"/>
      <c r="R15" s="47"/>
      <c r="S15" s="47"/>
    </row>
    <row r="16" spans="1:20" s="19" customFormat="1">
      <c r="A16" s="19" t="s">
        <v>1184</v>
      </c>
      <c r="E16" s="142"/>
      <c r="F16" s="47"/>
      <c r="G16" s="47"/>
      <c r="H16" s="47"/>
      <c r="I16" s="63"/>
      <c r="J16" s="64"/>
      <c r="K16" s="47"/>
      <c r="L16" s="65"/>
      <c r="N16" s="47"/>
      <c r="O16" s="47"/>
      <c r="P16" s="47"/>
      <c r="Q16" s="47"/>
      <c r="R16" s="47"/>
      <c r="S16" s="47"/>
    </row>
    <row r="17" spans="1:19" s="19" customFormat="1">
      <c r="E17" s="262"/>
      <c r="F17" s="260"/>
      <c r="G17" s="260"/>
      <c r="H17" s="260"/>
      <c r="I17" s="63"/>
      <c r="J17" s="64"/>
      <c r="K17" s="260"/>
      <c r="L17" s="65"/>
      <c r="N17" s="260"/>
      <c r="O17" s="260"/>
      <c r="P17" s="260"/>
      <c r="Q17" s="260"/>
      <c r="R17" s="260"/>
      <c r="S17" s="260"/>
    </row>
    <row r="18" spans="1:19" s="19" customFormat="1">
      <c r="A18" s="18" t="s">
        <v>1352</v>
      </c>
      <c r="E18" s="262"/>
      <c r="F18" s="260"/>
      <c r="G18" s="260"/>
      <c r="H18" s="260"/>
      <c r="I18" s="63"/>
      <c r="J18" s="64"/>
      <c r="K18" s="260"/>
      <c r="L18" s="65"/>
      <c r="N18" s="260"/>
      <c r="O18" s="260"/>
      <c r="P18" s="260"/>
      <c r="Q18" s="260"/>
      <c r="R18" s="260"/>
      <c r="S18" s="260"/>
    </row>
    <row r="19" spans="1:19" s="19" customFormat="1">
      <c r="A19" s="270" t="s">
        <v>1374</v>
      </c>
      <c r="E19" s="262"/>
      <c r="F19" s="260"/>
      <c r="G19" s="260"/>
      <c r="H19" s="260"/>
      <c r="I19" s="63"/>
      <c r="J19" s="64"/>
      <c r="K19" s="260"/>
      <c r="L19" s="65"/>
      <c r="N19" s="260"/>
      <c r="O19" s="260"/>
      <c r="P19" s="260"/>
      <c r="Q19" s="260"/>
      <c r="R19" s="260"/>
      <c r="S19" s="260"/>
    </row>
    <row r="20" spans="1:19" s="19" customFormat="1">
      <c r="A20" s="270" t="s">
        <v>1375</v>
      </c>
      <c r="E20" s="260"/>
      <c r="F20" s="260"/>
      <c r="G20" s="260"/>
    </row>
    <row r="21" spans="1:19" s="19" customFormat="1">
      <c r="A21" s="270" t="s">
        <v>1376</v>
      </c>
      <c r="E21" s="260"/>
      <c r="F21" s="260"/>
      <c r="G21" s="260"/>
    </row>
    <row r="22" spans="1:19" s="19" customFormat="1">
      <c r="A22" s="270"/>
      <c r="E22" s="260"/>
      <c r="F22" s="260"/>
      <c r="G22" s="260"/>
    </row>
    <row r="23" spans="1:19" s="19" customFormat="1">
      <c r="E23" s="260"/>
      <c r="F23" s="260"/>
      <c r="G23" s="260"/>
    </row>
    <row r="24" spans="1:19" s="19" customFormat="1" hidden="1">
      <c r="E24" s="47"/>
      <c r="F24" s="47"/>
      <c r="G24" s="47"/>
    </row>
    <row r="25" spans="1:19" s="19" customFormat="1" hidden="1">
      <c r="E25" s="47"/>
      <c r="F25" s="47"/>
      <c r="G25" s="47"/>
    </row>
    <row r="26" spans="1:19" s="19" customFormat="1" hidden="1">
      <c r="E26" s="47"/>
      <c r="F26" s="47"/>
      <c r="G26" s="47"/>
    </row>
    <row r="27" spans="1:19" s="19" customFormat="1" hidden="1">
      <c r="E27" s="47"/>
      <c r="F27" s="47"/>
      <c r="G27" s="47"/>
    </row>
    <row r="28" spans="1:19" s="19" customFormat="1" hidden="1">
      <c r="E28" s="47"/>
      <c r="F28" s="47"/>
      <c r="G28" s="47"/>
    </row>
    <row r="29" spans="1:19" s="19" customFormat="1" hidden="1">
      <c r="E29" s="47"/>
      <c r="F29" s="47"/>
      <c r="G29" s="47"/>
    </row>
    <row r="30" spans="1:19" s="19" customFormat="1" hidden="1">
      <c r="E30" s="47"/>
      <c r="F30" s="47"/>
      <c r="G30" s="47"/>
    </row>
    <row r="31" spans="1:19" s="19" customFormat="1" hidden="1">
      <c r="E31" s="47"/>
      <c r="F31" s="47"/>
      <c r="G31" s="47"/>
    </row>
    <row r="32" spans="1:19" s="19" customFormat="1" hidden="1">
      <c r="E32" s="47"/>
      <c r="F32" s="47"/>
      <c r="G32" s="47"/>
    </row>
    <row r="33" spans="5:7" s="19" customFormat="1" hidden="1">
      <c r="E33" s="47"/>
      <c r="F33" s="47"/>
      <c r="G33" s="47"/>
    </row>
    <row r="34" spans="5:7" s="19" customFormat="1" hidden="1">
      <c r="E34" s="47"/>
      <c r="F34" s="47"/>
      <c r="G34" s="47"/>
    </row>
    <row r="35" spans="5:7" s="19" customFormat="1" hidden="1">
      <c r="E35" s="47"/>
      <c r="F35" s="47"/>
      <c r="G35" s="47"/>
    </row>
    <row r="36" spans="5:7" s="19" customFormat="1" hidden="1">
      <c r="E36" s="47"/>
      <c r="F36" s="47"/>
      <c r="G36" s="47"/>
    </row>
    <row r="37" spans="5:7" s="19" customFormat="1" hidden="1">
      <c r="E37" s="47"/>
      <c r="F37" s="47"/>
      <c r="G37" s="47"/>
    </row>
    <row r="38" spans="5:7" s="19" customFormat="1" hidden="1">
      <c r="E38" s="47"/>
      <c r="F38" s="47"/>
      <c r="G38" s="47"/>
    </row>
    <row r="39" spans="5:7" s="19" customFormat="1" hidden="1">
      <c r="E39" s="47"/>
      <c r="F39" s="47"/>
      <c r="G39" s="47"/>
    </row>
    <row r="40" spans="5:7" s="19" customFormat="1" hidden="1">
      <c r="E40" s="47"/>
      <c r="F40" s="47"/>
      <c r="G40" s="47"/>
    </row>
    <row r="41" spans="5:7" s="19" customFormat="1" hidden="1">
      <c r="E41" s="47"/>
      <c r="F41" s="47"/>
      <c r="G41" s="47"/>
    </row>
    <row r="42" spans="5:7" s="19" customFormat="1" hidden="1">
      <c r="E42" s="47"/>
      <c r="F42" s="47"/>
      <c r="G42" s="47"/>
    </row>
    <row r="43" spans="5:7" s="19" customFormat="1" hidden="1">
      <c r="E43" s="47"/>
      <c r="F43" s="47"/>
      <c r="G43" s="47"/>
    </row>
    <row r="44" spans="5:7" s="19" customFormat="1" hidden="1">
      <c r="E44" s="47"/>
      <c r="F44" s="47"/>
      <c r="G44" s="47"/>
    </row>
    <row r="45" spans="5:7" s="19" customFormat="1" hidden="1">
      <c r="E45" s="47"/>
      <c r="F45" s="47"/>
      <c r="G45" s="47"/>
    </row>
    <row r="46" spans="5:7" s="19" customFormat="1" hidden="1">
      <c r="E46" s="47"/>
      <c r="F46" s="47"/>
      <c r="G46" s="47"/>
    </row>
    <row r="47" spans="5:7" s="19" customFormat="1" hidden="1">
      <c r="E47" s="47"/>
      <c r="F47" s="47"/>
      <c r="G47" s="47"/>
    </row>
    <row r="48" spans="5:7" s="19" customFormat="1" hidden="1">
      <c r="E48" s="47"/>
      <c r="F48" s="47"/>
      <c r="G48" s="47"/>
    </row>
    <row r="49" spans="5:20" s="19" customFormat="1" hidden="1">
      <c r="E49" s="47"/>
      <c r="F49" s="47"/>
      <c r="G49" s="47"/>
    </row>
    <row r="50" spans="5:20" s="19" customFormat="1" hidden="1">
      <c r="E50" s="47"/>
      <c r="F50" s="47"/>
      <c r="G50" s="47"/>
    </row>
    <row r="51" spans="5:20" s="19" customFormat="1" hidden="1">
      <c r="E51" s="47"/>
      <c r="F51" s="47"/>
      <c r="G51" s="47"/>
    </row>
    <row r="52" spans="5:20" s="19" customFormat="1" hidden="1">
      <c r="E52" s="47"/>
      <c r="F52" s="47"/>
      <c r="G52" s="47"/>
    </row>
    <row r="53" spans="5:20" s="19" customFormat="1" hidden="1">
      <c r="E53" s="47"/>
      <c r="F53" s="47"/>
      <c r="G53" s="47"/>
    </row>
    <row r="54" spans="5:20" s="19" customFormat="1" hidden="1">
      <c r="E54" s="47"/>
      <c r="F54" s="47"/>
      <c r="G54" s="47"/>
    </row>
    <row r="55" spans="5:20" s="19" customFormat="1" hidden="1">
      <c r="E55" s="47"/>
      <c r="F55" s="47"/>
      <c r="G55" s="47"/>
    </row>
    <row r="56" spans="5:20" s="19" customFormat="1" hidden="1">
      <c r="E56" s="47"/>
      <c r="F56" s="47"/>
      <c r="G56" s="47"/>
      <c r="T56" s="16"/>
    </row>
    <row r="57" spans="5:20" s="19" customFormat="1" hidden="1">
      <c r="E57" s="47"/>
      <c r="F57" s="47"/>
      <c r="G57" s="47"/>
      <c r="T57" s="16"/>
    </row>
    <row r="58" spans="5:20" s="19" customFormat="1" hidden="1">
      <c r="E58" s="47"/>
      <c r="F58" s="47"/>
      <c r="G58" s="47"/>
      <c r="T58" s="16"/>
    </row>
    <row r="59" spans="5:20" s="19" customFormat="1" hidden="1">
      <c r="E59" s="47"/>
      <c r="F59" s="47"/>
      <c r="G59" s="47"/>
      <c r="T59" s="16"/>
    </row>
    <row r="60" spans="5:20" s="19" customFormat="1" hidden="1">
      <c r="E60" s="47"/>
      <c r="F60" s="47"/>
      <c r="G60" s="47"/>
      <c r="T60" s="16"/>
    </row>
    <row r="61" spans="5:20" s="19" customFormat="1" hidden="1">
      <c r="E61" s="47"/>
      <c r="F61" s="47"/>
      <c r="G61" s="47"/>
      <c r="T61" s="16"/>
    </row>
    <row r="62" spans="5:20" s="19" customFormat="1" hidden="1">
      <c r="E62" s="47"/>
      <c r="F62" s="47"/>
      <c r="G62" s="47"/>
      <c r="T62" s="16"/>
    </row>
    <row r="63" spans="5:20" s="19" customFormat="1" hidden="1">
      <c r="E63" s="47"/>
      <c r="F63" s="47"/>
      <c r="G63" s="47"/>
      <c r="T63" s="16"/>
    </row>
    <row r="64" spans="5:20" s="19" customFormat="1" hidden="1">
      <c r="E64" s="47"/>
      <c r="F64" s="47"/>
      <c r="G64" s="47"/>
      <c r="T64" s="16"/>
    </row>
    <row r="65" spans="5:20" s="19" customFormat="1" hidden="1">
      <c r="E65" s="47"/>
      <c r="F65" s="47"/>
      <c r="G65" s="47"/>
      <c r="T65" s="16"/>
    </row>
    <row r="66" spans="5:20" s="19" customFormat="1" hidden="1">
      <c r="E66" s="47"/>
      <c r="F66" s="47"/>
      <c r="G66" s="47"/>
      <c r="T66" s="16"/>
    </row>
    <row r="67" spans="5:20" s="19" customFormat="1" hidden="1">
      <c r="E67" s="47"/>
      <c r="F67" s="47"/>
      <c r="G67" s="47"/>
      <c r="T67" s="16"/>
    </row>
    <row r="68" spans="5:20" hidden="1"/>
    <row r="69" spans="5:20" hidden="1"/>
    <row r="70" spans="5:20" hidden="1"/>
    <row r="71" spans="5:20" hidden="1"/>
    <row r="72" spans="5:20" hidden="1"/>
    <row r="73" spans="5:20" hidden="1"/>
    <row r="74" spans="5:20" hidden="1"/>
    <row r="75" spans="5:20" hidden="1"/>
    <row r="76" spans="5:20" hidden="1"/>
    <row r="77" spans="5:20" hidden="1"/>
    <row r="78" spans="5:20" hidden="1"/>
    <row r="79" spans="5:20" hidden="1"/>
    <row r="80" spans="5:20" hidden="1"/>
  </sheetData>
  <mergeCells count="1">
    <mergeCell ref="I1:J1"/>
  </mergeCells>
  <phoneticPr fontId="2" type="noConversion"/>
  <conditionalFormatting sqref="I2:J13">
    <cfRule type="cellIs" dxfId="101" priority="22" operator="equal">
      <formula>"/"</formula>
    </cfRule>
    <cfRule type="cellIs" dxfId="100" priority="23" operator="lessThan">
      <formula>0</formula>
    </cfRule>
    <cfRule type="cellIs" dxfId="99" priority="24" operator="greaterThan">
      <formula>0</formula>
    </cfRule>
  </conditionalFormatting>
  <conditionalFormatting sqref="M2:M13">
    <cfRule type="cellIs" dxfId="98" priority="17" operator="equal">
      <formula>2</formula>
    </cfRule>
    <cfRule type="cellIs" dxfId="97" priority="18" operator="equal">
      <formula>1</formula>
    </cfRule>
    <cfRule type="cellIs" dxfId="96" priority="19" operator="equal">
      <formula>0</formula>
    </cfRule>
  </conditionalFormatting>
  <conditionalFormatting sqref="K2:K13">
    <cfRule type="cellIs" dxfId="95" priority="16" operator="lessThan">
      <formula>30</formula>
    </cfRule>
  </conditionalFormatting>
  <conditionalFormatting sqref="G2:G13">
    <cfRule type="expression" dxfId="94" priority="3">
      <formula>$I$1="差距(LQ)"</formula>
    </cfRule>
  </conditionalFormatting>
  <conditionalFormatting sqref="F2:F13">
    <cfRule type="expression" dxfId="93" priority="1">
      <formula>$I$1="差距(Median)"</formula>
    </cfRule>
  </conditionalFormatting>
  <hyperlinks>
    <hyperlink ref="A19" r:id="rId1" xr:uid="{FA0A12C6-BAEF-4CE9-A7BD-5A0DBAAF50D2}"/>
    <hyperlink ref="A20" r:id="rId2" xr:uid="{A2D3D0B3-DC2B-45C1-8B1A-F73010E69F42}"/>
    <hyperlink ref="A21" r:id="rId3" xr:uid="{5390E0B2-561D-45D0-AACB-4114210FFC47}"/>
  </hyperlinks>
  <pageMargins left="0.7" right="0.7" top="0.75" bottom="0.75" header="0.3" footer="0.3"/>
  <legacyDrawing r:id="rId4"/>
  <extLst>
    <ext xmlns:x14="http://schemas.microsoft.com/office/spreadsheetml/2009/9/main" uri="{78C0D931-6437-407d-A8EE-F0AAD7539E65}">
      <x14:conditionalFormattings>
        <x14:conditionalFormatting xmlns:xm="http://schemas.microsoft.com/office/excel/2006/main">
          <x14:cfRule type="cellIs" priority="10" operator="greaterThan" id="{90F7B385-5088-40F3-AFFB-9D2213B7FA27}">
            <xm:f>計分版!$C$13</xm:f>
            <x14:dxf>
              <font>
                <color rgb="FF9C0006"/>
              </font>
              <fill>
                <patternFill>
                  <bgColor rgb="FFFFC7CE"/>
                </patternFill>
              </fill>
            </x14:dxf>
          </x14:cfRule>
          <x14:cfRule type="cellIs" priority="11" operator="lessThan" id="{A37E644B-DDF1-4468-A848-3B2A5B20B56B}">
            <xm:f>計分版!$C$13</xm:f>
            <x14:dxf>
              <font>
                <color rgb="FF006100"/>
              </font>
              <fill>
                <patternFill>
                  <bgColor rgb="FFC6EFCE"/>
                </patternFill>
              </fill>
            </x14:dxf>
          </x14:cfRule>
          <xm:sqref>O2:O13</xm:sqref>
        </x14:conditionalFormatting>
        <x14:conditionalFormatting xmlns:xm="http://schemas.microsoft.com/office/excel/2006/main">
          <x14:cfRule type="cellIs" priority="8" operator="greaterThan" id="{17FC187D-CEB4-4511-8E32-5634DB857746}">
            <xm:f>計分版!$D$13</xm:f>
            <x14:dxf>
              <font>
                <color rgb="FF9C0006"/>
              </font>
              <fill>
                <patternFill>
                  <bgColor rgb="FFFFC7CE"/>
                </patternFill>
              </fill>
            </x14:dxf>
          </x14:cfRule>
          <x14:cfRule type="cellIs" priority="9" operator="lessThan" id="{021DFEC7-1052-4015-9EFC-6EDA0B871DD4}">
            <xm:f>計分版!$D$13</xm:f>
            <x14:dxf>
              <font>
                <color rgb="FF006100"/>
              </font>
              <fill>
                <patternFill>
                  <bgColor rgb="FFC6EFCE"/>
                </patternFill>
              </fill>
            </x14:dxf>
          </x14:cfRule>
          <xm:sqref>P2:P13</xm:sqref>
        </x14:conditionalFormatting>
        <x14:conditionalFormatting xmlns:xm="http://schemas.microsoft.com/office/excel/2006/main">
          <x14:cfRule type="cellIs" priority="6" operator="lessThan" id="{1A6D04C0-25E0-41E4-8C51-BD33C4925E99}">
            <xm:f>計分版!$E$13</xm:f>
            <x14:dxf>
              <font>
                <color rgb="FF006100"/>
              </font>
              <fill>
                <patternFill>
                  <bgColor rgb="FFC6EFCE"/>
                </patternFill>
              </fill>
            </x14:dxf>
          </x14:cfRule>
          <x14:cfRule type="cellIs" priority="7" operator="greaterThan" id="{CA2B61B7-4CCE-4758-AB3D-6141287DCF1F}">
            <xm:f>計分版!$E$13</xm:f>
            <x14:dxf>
              <font>
                <color rgb="FF9C0006"/>
              </font>
              <fill>
                <patternFill>
                  <bgColor rgb="FFFFC7CE"/>
                </patternFill>
              </fill>
            </x14:dxf>
          </x14:cfRule>
          <xm:sqref>Q2:Q13</xm:sqref>
        </x14:conditionalFormatting>
        <x14:conditionalFormatting xmlns:xm="http://schemas.microsoft.com/office/excel/2006/main">
          <x14:cfRule type="cellIs" priority="4" operator="lessThan" id="{F90A4E14-5465-4A77-A3EF-E2CF3A2EB2C1}">
            <xm:f>計分版!$F$13</xm:f>
            <x14:dxf>
              <font>
                <color rgb="FF006100"/>
              </font>
              <fill>
                <patternFill>
                  <bgColor rgb="FFC6EFCE"/>
                </patternFill>
              </fill>
            </x14:dxf>
          </x14:cfRule>
          <x14:cfRule type="cellIs" priority="5" operator="greaterThan" id="{01B4790B-06FD-4A77-BB74-2AA33C961697}">
            <xm:f>計分版!$F$13</xm:f>
            <x14:dxf>
              <font>
                <color rgb="FF9C0006"/>
              </font>
              <fill>
                <patternFill>
                  <bgColor rgb="FFFFC7CE"/>
                </patternFill>
              </fill>
            </x14:dxf>
          </x14:cfRule>
          <xm:sqref>R2:R13</xm:sqref>
        </x14:conditionalFormatting>
        <x14:conditionalFormatting xmlns:xm="http://schemas.microsoft.com/office/excel/2006/main">
          <x14:cfRule type="cellIs" priority="12" operator="lessThan" id="{2EDF2300-D271-4791-90EB-1990FA8C87DC}">
            <xm:f>LARGE(計分版!$G$13:$L$13,1)</xm:f>
            <x14:dxf>
              <font>
                <color rgb="FF006100"/>
              </font>
              <fill>
                <patternFill>
                  <bgColor rgb="FFC6EFCE"/>
                </patternFill>
              </fill>
            </x14:dxf>
          </x14:cfRule>
          <x14:cfRule type="cellIs" priority="13" operator="greaterThan" id="{114ECFBA-AB56-4066-B72A-056ACF1C929F}">
            <xm:f>LARGE(計分版!$G$13:$L$13,1)</xm:f>
            <x14:dxf>
              <font>
                <color rgb="FF9C0006"/>
              </font>
              <fill>
                <patternFill>
                  <bgColor rgb="FFFFC7CE"/>
                </patternFill>
              </fill>
            </x14:dxf>
          </x14:cfRule>
          <xm:sqref>S2:S13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81BF022-986C-42C2-A855-8E0FBA899749}">
          <x14:formula1>
            <xm:f>選單!$I$2:$I$3</xm:f>
          </x14:formula1>
          <xm:sqref>I1:J1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33073-F7DA-4803-9AB2-B0D488DD058C}">
  <dimension ref="A1:XFC113"/>
  <sheetViews>
    <sheetView zoomScaleNormal="100" workbookViewId="0">
      <pane ySplit="1" topLeftCell="A2" activePane="bottomLeft" state="frozen"/>
      <selection pane="bottomLeft" activeCell="R7" sqref="R7"/>
    </sheetView>
  </sheetViews>
  <sheetFormatPr defaultColWidth="0" defaultRowHeight="16.5" zeroHeight="1"/>
  <cols>
    <col min="1" max="1" width="7" style="20" customWidth="1"/>
    <col min="2" max="2" width="8.625" style="20" customWidth="1"/>
    <col min="3" max="3" width="22.5" style="20" customWidth="1"/>
    <col min="4" max="4" width="15.125" style="20" hidden="1" customWidth="1"/>
    <col min="5" max="5" width="7.25" style="18" customWidth="1"/>
    <col min="6" max="6" width="6.125" style="47" customWidth="1"/>
    <col min="7" max="7" width="6.875" style="46" customWidth="1"/>
    <col min="8" max="8" width="6.125" style="54" customWidth="1"/>
    <col min="9" max="9" width="7.25" style="55" customWidth="1"/>
    <col min="10" max="10" width="5" style="46" customWidth="1"/>
    <col min="11" max="11" width="4.5" style="53" hidden="1" customWidth="1"/>
    <col min="12" max="12" width="4" style="20" customWidth="1"/>
    <col min="13" max="13" width="8.75" style="46" customWidth="1"/>
    <col min="14" max="18" width="2.75" style="46" customWidth="1"/>
    <col min="19" max="19" width="7.125" style="46" customWidth="1"/>
    <col min="20" max="20" width="9" style="99" customWidth="1"/>
    <col min="21" max="21" width="9" style="20" customWidth="1"/>
    <col min="22" max="22" width="20.75" style="20" hidden="1" customWidth="1"/>
    <col min="23" max="23" width="0" style="20" hidden="1" customWidth="1"/>
    <col min="24" max="27" width="9" style="20" hidden="1" customWidth="1"/>
    <col min="28" max="16383" width="9" style="20" hidden="1"/>
    <col min="16384" max="16384" width="0" style="20" hidden="1"/>
  </cols>
  <sheetData>
    <row r="1" spans="1:20" s="127" customFormat="1" ht="13.5">
      <c r="A1" s="127" t="s">
        <v>228</v>
      </c>
      <c r="B1" s="127" t="s">
        <v>325</v>
      </c>
      <c r="C1" s="127" t="s">
        <v>400</v>
      </c>
      <c r="E1" s="127" t="s">
        <v>229</v>
      </c>
      <c r="F1" s="128" t="s">
        <v>867</v>
      </c>
      <c r="G1" s="128" t="s">
        <v>230</v>
      </c>
      <c r="H1" s="320" t="s">
        <v>965</v>
      </c>
      <c r="I1" s="320"/>
      <c r="J1" s="128" t="s">
        <v>394</v>
      </c>
      <c r="K1" s="129" t="s">
        <v>436</v>
      </c>
      <c r="L1" s="127" t="s">
        <v>414</v>
      </c>
      <c r="M1" s="128" t="s">
        <v>415</v>
      </c>
      <c r="N1" s="128" t="s">
        <v>405</v>
      </c>
      <c r="O1" s="128" t="s">
        <v>406</v>
      </c>
      <c r="P1" s="128" t="s">
        <v>407</v>
      </c>
      <c r="Q1" s="128" t="s">
        <v>408</v>
      </c>
      <c r="R1" s="128" t="s">
        <v>409</v>
      </c>
      <c r="S1" s="128"/>
    </row>
    <row r="2" spans="1:20" s="139" customFormat="1" ht="18" customHeight="1">
      <c r="A2" s="130" t="s">
        <v>915</v>
      </c>
      <c r="B2" s="130"/>
      <c r="C2" s="130" t="s">
        <v>916</v>
      </c>
      <c r="D2" s="130" t="s">
        <v>891</v>
      </c>
      <c r="E2" s="130" t="s">
        <v>214</v>
      </c>
      <c r="F2" s="218">
        <v>21</v>
      </c>
      <c r="G2" s="236">
        <f>計分版!B15</f>
        <v>3.3999999999999998E-9</v>
      </c>
      <c r="H2" s="131">
        <f>G2-F2</f>
        <v>-20.9999999966</v>
      </c>
      <c r="I2" s="132">
        <f>(G2-F2)/G2</f>
        <v>-6176470587.2352943</v>
      </c>
      <c r="J2" s="133">
        <v>82</v>
      </c>
      <c r="K2" s="134"/>
      <c r="L2" s="135">
        <f>入學要求!S197</f>
        <v>0</v>
      </c>
      <c r="M2" s="136" t="s">
        <v>417</v>
      </c>
      <c r="N2" s="137">
        <v>5</v>
      </c>
      <c r="O2" s="137">
        <v>3</v>
      </c>
      <c r="P2" s="137">
        <v>2</v>
      </c>
      <c r="Q2" s="137">
        <v>2</v>
      </c>
      <c r="R2" s="137">
        <v>2</v>
      </c>
      <c r="S2" s="137"/>
      <c r="T2" s="138"/>
    </row>
    <row r="3" spans="1:20" ht="18" customHeight="1">
      <c r="A3" s="19" t="s">
        <v>917</v>
      </c>
      <c r="B3" s="19"/>
      <c r="C3" s="19" t="s">
        <v>918</v>
      </c>
      <c r="D3" s="19" t="s">
        <v>892</v>
      </c>
      <c r="E3" s="19" t="s">
        <v>214</v>
      </c>
      <c r="F3" s="219">
        <v>20</v>
      </c>
      <c r="G3" s="230">
        <f>計分版!B15</f>
        <v>3.3999999999999998E-9</v>
      </c>
      <c r="H3" s="83">
        <f t="shared" ref="H3:H24" si="0">G3-F3</f>
        <v>-19.9999999966</v>
      </c>
      <c r="I3" s="84">
        <f t="shared" ref="I3:I8" si="1">(G3-F3)/G3</f>
        <v>-5882352940.1764708</v>
      </c>
      <c r="J3" s="120">
        <v>20</v>
      </c>
      <c r="K3" s="93"/>
      <c r="L3" s="86">
        <f>入學要求!S198</f>
        <v>0</v>
      </c>
      <c r="M3" s="94" t="s">
        <v>964</v>
      </c>
      <c r="N3" s="47">
        <v>3</v>
      </c>
      <c r="O3" s="47">
        <v>5</v>
      </c>
      <c r="P3" s="47">
        <v>2</v>
      </c>
      <c r="Q3" s="47">
        <v>2</v>
      </c>
      <c r="R3" s="47">
        <v>2</v>
      </c>
      <c r="S3" s="47"/>
      <c r="T3" s="64"/>
    </row>
    <row r="4" spans="1:20" s="139" customFormat="1" ht="18" customHeight="1">
      <c r="A4" s="130" t="s">
        <v>919</v>
      </c>
      <c r="B4" s="130"/>
      <c r="C4" s="130" t="s">
        <v>920</v>
      </c>
      <c r="D4" s="130" t="s">
        <v>893</v>
      </c>
      <c r="E4" s="130" t="s">
        <v>214</v>
      </c>
      <c r="F4" s="218">
        <v>20</v>
      </c>
      <c r="G4" s="236">
        <f>計分版!B15</f>
        <v>3.3999999999999998E-9</v>
      </c>
      <c r="H4" s="131">
        <f t="shared" si="0"/>
        <v>-19.9999999966</v>
      </c>
      <c r="I4" s="132">
        <f t="shared" si="1"/>
        <v>-5882352940.1764708</v>
      </c>
      <c r="J4" s="133">
        <v>45</v>
      </c>
      <c r="K4" s="134"/>
      <c r="L4" s="135">
        <f>入學要求!S199</f>
        <v>0</v>
      </c>
      <c r="M4" s="136" t="s">
        <v>964</v>
      </c>
      <c r="N4" s="137">
        <v>3</v>
      </c>
      <c r="O4" s="137">
        <v>3</v>
      </c>
      <c r="P4" s="137">
        <v>2</v>
      </c>
      <c r="Q4" s="137">
        <v>2</v>
      </c>
      <c r="R4" s="47">
        <v>2</v>
      </c>
      <c r="S4" s="137"/>
      <c r="T4" s="138"/>
    </row>
    <row r="5" spans="1:20" ht="18" customHeight="1">
      <c r="A5" s="19" t="s">
        <v>921</v>
      </c>
      <c r="B5" s="19"/>
      <c r="C5" s="19" t="s">
        <v>922</v>
      </c>
      <c r="D5" s="19" t="s">
        <v>894</v>
      </c>
      <c r="E5" s="19" t="s">
        <v>214</v>
      </c>
      <c r="F5" s="219">
        <v>21</v>
      </c>
      <c r="G5" s="230">
        <f>計分版!B15</f>
        <v>3.3999999999999998E-9</v>
      </c>
      <c r="H5" s="83">
        <f t="shared" si="0"/>
        <v>-20.9999999966</v>
      </c>
      <c r="I5" s="84">
        <f t="shared" si="1"/>
        <v>-6176470587.2352943</v>
      </c>
      <c r="J5" s="120">
        <v>70</v>
      </c>
      <c r="K5" s="93"/>
      <c r="L5" s="86">
        <f>入學要求!S200</f>
        <v>0</v>
      </c>
      <c r="M5" s="94" t="s">
        <v>964</v>
      </c>
      <c r="N5" s="47">
        <v>3</v>
      </c>
      <c r="O5" s="47">
        <v>3</v>
      </c>
      <c r="P5" s="47">
        <v>3</v>
      </c>
      <c r="Q5" s="47">
        <v>2</v>
      </c>
      <c r="R5" s="137">
        <v>2</v>
      </c>
      <c r="S5" s="47"/>
      <c r="T5" s="64"/>
    </row>
    <row r="6" spans="1:20" s="139" customFormat="1" ht="18" customHeight="1">
      <c r="A6" s="130" t="s">
        <v>923</v>
      </c>
      <c r="B6" s="130"/>
      <c r="C6" s="130" t="s">
        <v>924</v>
      </c>
      <c r="D6" s="130" t="s">
        <v>895</v>
      </c>
      <c r="E6" s="130" t="s">
        <v>214</v>
      </c>
      <c r="F6" s="218">
        <v>21</v>
      </c>
      <c r="G6" s="236">
        <f>計分版!B15</f>
        <v>3.3999999999999998E-9</v>
      </c>
      <c r="H6" s="131">
        <f t="shared" si="0"/>
        <v>-20.9999999966</v>
      </c>
      <c r="I6" s="132">
        <f t="shared" si="1"/>
        <v>-6176470587.2352943</v>
      </c>
      <c r="J6" s="133">
        <v>31</v>
      </c>
      <c r="K6" s="134"/>
      <c r="L6" s="140">
        <f>入學要求!S201</f>
        <v>0</v>
      </c>
      <c r="M6" s="136" t="s">
        <v>964</v>
      </c>
      <c r="N6" s="137">
        <v>3</v>
      </c>
      <c r="O6" s="137">
        <v>3</v>
      </c>
      <c r="P6" s="137">
        <v>2</v>
      </c>
      <c r="Q6" s="137">
        <v>2</v>
      </c>
      <c r="R6" s="137">
        <v>2</v>
      </c>
      <c r="S6" s="137"/>
      <c r="T6" s="138"/>
    </row>
    <row r="7" spans="1:20" ht="18" customHeight="1">
      <c r="A7" s="19" t="s">
        <v>925</v>
      </c>
      <c r="B7" s="19"/>
      <c r="C7" s="19" t="s">
        <v>926</v>
      </c>
      <c r="D7" s="19" t="s">
        <v>896</v>
      </c>
      <c r="E7" s="19" t="s">
        <v>214</v>
      </c>
      <c r="F7" s="219">
        <v>19</v>
      </c>
      <c r="G7" s="230">
        <f>計分版!B15</f>
        <v>3.3999999999999998E-9</v>
      </c>
      <c r="H7" s="83">
        <f t="shared" si="0"/>
        <v>-18.9999999966</v>
      </c>
      <c r="I7" s="84">
        <f t="shared" si="1"/>
        <v>-5588235293.1176472</v>
      </c>
      <c r="J7" s="120">
        <v>20</v>
      </c>
      <c r="K7" s="93"/>
      <c r="L7" s="86">
        <f>入學要求!S202</f>
        <v>0</v>
      </c>
      <c r="M7" s="94" t="s">
        <v>964</v>
      </c>
      <c r="N7" s="47">
        <v>3</v>
      </c>
      <c r="O7" s="47">
        <v>3</v>
      </c>
      <c r="P7" s="47">
        <v>2</v>
      </c>
      <c r="Q7" s="47">
        <v>2</v>
      </c>
      <c r="R7" s="47">
        <v>2</v>
      </c>
      <c r="S7" s="47"/>
      <c r="T7" s="64"/>
    </row>
    <row r="8" spans="1:20" s="139" customFormat="1" ht="18" customHeight="1">
      <c r="A8" s="130" t="s">
        <v>927</v>
      </c>
      <c r="B8" s="130"/>
      <c r="C8" s="130" t="s">
        <v>928</v>
      </c>
      <c r="D8" s="130" t="s">
        <v>897</v>
      </c>
      <c r="E8" s="130" t="s">
        <v>214</v>
      </c>
      <c r="F8" s="218">
        <v>20</v>
      </c>
      <c r="G8" s="236">
        <f>計分版!B15</f>
        <v>3.3999999999999998E-9</v>
      </c>
      <c r="H8" s="131">
        <f t="shared" si="0"/>
        <v>-19.9999999966</v>
      </c>
      <c r="I8" s="132">
        <f t="shared" si="1"/>
        <v>-5882352940.1764708</v>
      </c>
      <c r="J8" s="133">
        <v>20</v>
      </c>
      <c r="K8" s="134"/>
      <c r="L8" s="135">
        <f>入學要求!S203</f>
        <v>0</v>
      </c>
      <c r="M8" s="136" t="s">
        <v>964</v>
      </c>
      <c r="N8" s="137">
        <v>3</v>
      </c>
      <c r="O8" s="137">
        <v>3</v>
      </c>
      <c r="P8" s="137">
        <v>2</v>
      </c>
      <c r="Q8" s="137">
        <v>2</v>
      </c>
      <c r="R8" s="137">
        <v>2</v>
      </c>
      <c r="S8" s="137"/>
      <c r="T8" s="138"/>
    </row>
    <row r="9" spans="1:20" ht="18" customHeight="1">
      <c r="A9" s="19" t="s">
        <v>929</v>
      </c>
      <c r="B9" s="19"/>
      <c r="C9" s="19" t="s">
        <v>930</v>
      </c>
      <c r="D9" s="19" t="s">
        <v>898</v>
      </c>
      <c r="E9" s="19" t="s">
        <v>214</v>
      </c>
      <c r="F9" s="219" t="s">
        <v>899</v>
      </c>
      <c r="G9" s="230">
        <f>計分版!B15</f>
        <v>3.3999999999999998E-9</v>
      </c>
      <c r="H9" s="22" t="s">
        <v>393</v>
      </c>
      <c r="I9" s="23" t="s">
        <v>393</v>
      </c>
      <c r="J9" s="120">
        <v>10</v>
      </c>
      <c r="K9" s="93"/>
      <c r="L9" s="86">
        <f>入學要求!S204</f>
        <v>0</v>
      </c>
      <c r="M9" s="94" t="s">
        <v>964</v>
      </c>
      <c r="N9" s="47">
        <v>3</v>
      </c>
      <c r="O9" s="47">
        <v>3</v>
      </c>
      <c r="P9" s="47">
        <v>2</v>
      </c>
      <c r="Q9" s="47">
        <v>2</v>
      </c>
      <c r="R9" s="47">
        <v>2</v>
      </c>
      <c r="S9" s="47"/>
      <c r="T9" s="64"/>
    </row>
    <row r="10" spans="1:20" s="139" customFormat="1" ht="18" customHeight="1">
      <c r="A10" s="130" t="s">
        <v>931</v>
      </c>
      <c r="B10" s="130"/>
      <c r="C10" s="130" t="s">
        <v>932</v>
      </c>
      <c r="D10" s="130" t="s">
        <v>900</v>
      </c>
      <c r="E10" s="130" t="s">
        <v>214</v>
      </c>
      <c r="F10" s="218">
        <v>22</v>
      </c>
      <c r="G10" s="236">
        <f>計分版!B15</f>
        <v>3.3999999999999998E-9</v>
      </c>
      <c r="H10" s="131">
        <f t="shared" si="0"/>
        <v>-21.9999999966</v>
      </c>
      <c r="I10" s="132">
        <f t="shared" ref="I10:I22" si="2">(G10-F10)/G10</f>
        <v>-6470588234.2941179</v>
      </c>
      <c r="J10" s="133">
        <v>18</v>
      </c>
      <c r="K10" s="134">
        <v>18</v>
      </c>
      <c r="L10" s="135">
        <f>入學要求!S205</f>
        <v>0</v>
      </c>
      <c r="M10" s="136" t="s">
        <v>964</v>
      </c>
      <c r="N10" s="137">
        <v>3</v>
      </c>
      <c r="O10" s="137">
        <v>3</v>
      </c>
      <c r="P10" s="137">
        <v>3</v>
      </c>
      <c r="Q10" s="137">
        <v>2</v>
      </c>
      <c r="R10" s="137">
        <v>2</v>
      </c>
      <c r="S10" s="137"/>
      <c r="T10" s="138"/>
    </row>
    <row r="11" spans="1:20" ht="18" customHeight="1">
      <c r="A11" s="19" t="s">
        <v>933</v>
      </c>
      <c r="B11" s="19"/>
      <c r="C11" s="19" t="s">
        <v>934</v>
      </c>
      <c r="D11" s="19" t="s">
        <v>901</v>
      </c>
      <c r="E11" s="19" t="s">
        <v>214</v>
      </c>
      <c r="F11" s="219">
        <v>21</v>
      </c>
      <c r="G11" s="230">
        <f>計分版!B15</f>
        <v>3.3999999999999998E-9</v>
      </c>
      <c r="H11" s="83">
        <f t="shared" si="0"/>
        <v>-20.9999999966</v>
      </c>
      <c r="I11" s="84">
        <f t="shared" si="2"/>
        <v>-6176470587.2352943</v>
      </c>
      <c r="J11" s="120">
        <v>49</v>
      </c>
      <c r="K11" s="93"/>
      <c r="L11" s="86">
        <f>入學要求!S206</f>
        <v>0</v>
      </c>
      <c r="M11" s="94" t="s">
        <v>964</v>
      </c>
      <c r="N11" s="47">
        <v>3</v>
      </c>
      <c r="O11" s="47">
        <v>3</v>
      </c>
      <c r="P11" s="47">
        <v>2</v>
      </c>
      <c r="Q11" s="47">
        <v>2</v>
      </c>
      <c r="R11" s="47">
        <v>2</v>
      </c>
      <c r="T11" s="64"/>
    </row>
    <row r="12" spans="1:20" s="139" customFormat="1" ht="18" customHeight="1">
      <c r="A12" s="130" t="s">
        <v>935</v>
      </c>
      <c r="B12" s="130"/>
      <c r="C12" s="130" t="s">
        <v>936</v>
      </c>
      <c r="D12" s="130" t="s">
        <v>902</v>
      </c>
      <c r="E12" s="130" t="s">
        <v>214</v>
      </c>
      <c r="F12" s="218">
        <v>21</v>
      </c>
      <c r="G12" s="236">
        <f>計分版!B15</f>
        <v>3.3999999999999998E-9</v>
      </c>
      <c r="H12" s="131">
        <f t="shared" si="0"/>
        <v>-20.9999999966</v>
      </c>
      <c r="I12" s="132">
        <f t="shared" si="2"/>
        <v>-6176470587.2352943</v>
      </c>
      <c r="J12" s="133">
        <v>10</v>
      </c>
      <c r="K12" s="134"/>
      <c r="L12" s="135">
        <f>入學要求!S207</f>
        <v>0</v>
      </c>
      <c r="M12" s="136" t="s">
        <v>964</v>
      </c>
      <c r="N12" s="137">
        <v>3</v>
      </c>
      <c r="O12" s="137">
        <v>3</v>
      </c>
      <c r="P12" s="137">
        <v>2</v>
      </c>
      <c r="Q12" s="137">
        <v>2</v>
      </c>
      <c r="R12" s="137">
        <v>2</v>
      </c>
      <c r="S12" s="137"/>
      <c r="T12" s="138"/>
    </row>
    <row r="13" spans="1:20" ht="18" customHeight="1">
      <c r="A13" s="19" t="s">
        <v>937</v>
      </c>
      <c r="B13" s="19"/>
      <c r="C13" s="19" t="s">
        <v>938</v>
      </c>
      <c r="D13" s="19" t="s">
        <v>903</v>
      </c>
      <c r="E13" s="19" t="s">
        <v>214</v>
      </c>
      <c r="F13" s="219">
        <v>20</v>
      </c>
      <c r="G13" s="230">
        <f>計分版!B15</f>
        <v>3.3999999999999998E-9</v>
      </c>
      <c r="H13" s="83">
        <f t="shared" si="0"/>
        <v>-19.9999999966</v>
      </c>
      <c r="I13" s="84">
        <f t="shared" si="2"/>
        <v>-5882352940.1764708</v>
      </c>
      <c r="J13" s="120">
        <v>14</v>
      </c>
      <c r="K13" s="93"/>
      <c r="L13" s="86">
        <f>入學要求!S208</f>
        <v>0</v>
      </c>
      <c r="M13" s="94" t="s">
        <v>964</v>
      </c>
      <c r="N13" s="47">
        <v>3</v>
      </c>
      <c r="O13" s="47">
        <v>3</v>
      </c>
      <c r="P13" s="47">
        <v>2</v>
      </c>
      <c r="Q13" s="47">
        <v>2</v>
      </c>
      <c r="R13" s="47">
        <v>4</v>
      </c>
      <c r="S13" s="47"/>
      <c r="T13" s="64"/>
    </row>
    <row r="14" spans="1:20" s="139" customFormat="1" ht="18" customHeight="1">
      <c r="A14" s="130" t="s">
        <v>939</v>
      </c>
      <c r="B14" s="130"/>
      <c r="C14" s="130" t="s">
        <v>940</v>
      </c>
      <c r="D14" s="130" t="s">
        <v>904</v>
      </c>
      <c r="E14" s="130" t="s">
        <v>214</v>
      </c>
      <c r="F14" s="218">
        <v>20</v>
      </c>
      <c r="G14" s="236">
        <f>計分版!B15</f>
        <v>3.3999999999999998E-9</v>
      </c>
      <c r="H14" s="131">
        <f t="shared" si="0"/>
        <v>-19.9999999966</v>
      </c>
      <c r="I14" s="132">
        <f t="shared" si="2"/>
        <v>-5882352940.1764708</v>
      </c>
      <c r="J14" s="133">
        <v>16</v>
      </c>
      <c r="K14" s="134"/>
      <c r="L14" s="135">
        <f>入學要求!S209</f>
        <v>0</v>
      </c>
      <c r="M14" s="136" t="s">
        <v>964</v>
      </c>
      <c r="N14" s="137">
        <v>5</v>
      </c>
      <c r="O14" s="137">
        <v>3</v>
      </c>
      <c r="P14" s="137">
        <v>2</v>
      </c>
      <c r="Q14" s="137">
        <v>2</v>
      </c>
      <c r="R14" s="137">
        <v>2</v>
      </c>
      <c r="S14" s="137"/>
      <c r="T14" s="138"/>
    </row>
    <row r="15" spans="1:20" ht="18" customHeight="1">
      <c r="A15" s="19" t="s">
        <v>941</v>
      </c>
      <c r="B15" s="19"/>
      <c r="C15" s="19" t="s">
        <v>942</v>
      </c>
      <c r="D15" s="19" t="s">
        <v>905</v>
      </c>
      <c r="E15" s="19" t="s">
        <v>214</v>
      </c>
      <c r="F15" s="219">
        <v>20</v>
      </c>
      <c r="G15" s="230">
        <f>計分版!B15</f>
        <v>3.3999999999999998E-9</v>
      </c>
      <c r="H15" s="83">
        <f t="shared" si="0"/>
        <v>-19.9999999966</v>
      </c>
      <c r="I15" s="84">
        <f t="shared" si="2"/>
        <v>-5882352940.1764708</v>
      </c>
      <c r="J15" s="120">
        <v>16</v>
      </c>
      <c r="K15" s="93"/>
      <c r="L15" s="86">
        <f>入學要求!S210</f>
        <v>0</v>
      </c>
      <c r="M15" s="94" t="s">
        <v>964</v>
      </c>
      <c r="N15" s="47">
        <v>3</v>
      </c>
      <c r="O15" s="47">
        <v>5</v>
      </c>
      <c r="P15" s="47">
        <v>2</v>
      </c>
      <c r="Q15" s="47">
        <v>2</v>
      </c>
      <c r="R15" s="47">
        <v>2</v>
      </c>
      <c r="S15" s="95"/>
      <c r="T15" s="64"/>
    </row>
    <row r="16" spans="1:20" s="139" customFormat="1" ht="18" customHeight="1">
      <c r="A16" s="130" t="s">
        <v>943</v>
      </c>
      <c r="B16" s="130"/>
      <c r="C16" s="130" t="s">
        <v>944</v>
      </c>
      <c r="D16" s="130" t="s">
        <v>906</v>
      </c>
      <c r="E16" s="130" t="s">
        <v>214</v>
      </c>
      <c r="F16" s="218">
        <v>20</v>
      </c>
      <c r="G16" s="236">
        <f>計分版!B15</f>
        <v>3.3999999999999998E-9</v>
      </c>
      <c r="H16" s="131">
        <f t="shared" si="0"/>
        <v>-19.9999999966</v>
      </c>
      <c r="I16" s="132">
        <f t="shared" si="2"/>
        <v>-5882352940.1764708</v>
      </c>
      <c r="J16" s="133">
        <v>24</v>
      </c>
      <c r="K16" s="134"/>
      <c r="L16" s="135">
        <f>入學要求!S211</f>
        <v>0</v>
      </c>
      <c r="M16" s="136" t="s">
        <v>964</v>
      </c>
      <c r="N16" s="137">
        <v>3</v>
      </c>
      <c r="O16" s="137">
        <v>3</v>
      </c>
      <c r="P16" s="137">
        <v>2</v>
      </c>
      <c r="Q16" s="137">
        <v>2</v>
      </c>
      <c r="R16" s="137">
        <v>2</v>
      </c>
      <c r="S16" s="137"/>
      <c r="T16" s="138"/>
    </row>
    <row r="17" spans="1:20" ht="18" customHeight="1">
      <c r="A17" s="19" t="s">
        <v>945</v>
      </c>
      <c r="B17" s="19"/>
      <c r="C17" s="19" t="s">
        <v>946</v>
      </c>
      <c r="D17" s="19" t="s">
        <v>907</v>
      </c>
      <c r="E17" s="19" t="s">
        <v>214</v>
      </c>
      <c r="F17" s="219">
        <v>20</v>
      </c>
      <c r="G17" s="230">
        <f>計分版!B15</f>
        <v>3.3999999999999998E-9</v>
      </c>
      <c r="H17" s="83">
        <f t="shared" si="0"/>
        <v>-19.9999999966</v>
      </c>
      <c r="I17" s="84">
        <f t="shared" si="2"/>
        <v>-5882352940.1764708</v>
      </c>
      <c r="J17" s="120">
        <v>12</v>
      </c>
      <c r="K17" s="93"/>
      <c r="L17" s="86">
        <f>入學要求!S212</f>
        <v>0</v>
      </c>
      <c r="M17" s="94" t="s">
        <v>964</v>
      </c>
      <c r="N17" s="47">
        <v>3</v>
      </c>
      <c r="O17" s="47">
        <v>3</v>
      </c>
      <c r="P17" s="47">
        <v>2</v>
      </c>
      <c r="Q17" s="47">
        <v>2</v>
      </c>
      <c r="R17" s="47">
        <v>2</v>
      </c>
      <c r="S17" s="47"/>
      <c r="T17" s="64"/>
    </row>
    <row r="18" spans="1:20" s="139" customFormat="1" ht="18" customHeight="1">
      <c r="A18" s="130" t="s">
        <v>947</v>
      </c>
      <c r="B18" s="130"/>
      <c r="C18" s="130" t="s">
        <v>948</v>
      </c>
      <c r="D18" s="130" t="s">
        <v>908</v>
      </c>
      <c r="E18" s="130" t="s">
        <v>214</v>
      </c>
      <c r="F18" s="218">
        <v>19</v>
      </c>
      <c r="G18" s="236">
        <f>計分版!B15</f>
        <v>3.3999999999999998E-9</v>
      </c>
      <c r="H18" s="131">
        <f t="shared" si="0"/>
        <v>-18.9999999966</v>
      </c>
      <c r="I18" s="132">
        <f t="shared" si="2"/>
        <v>-5588235293.1176472</v>
      </c>
      <c r="J18" s="133">
        <v>12</v>
      </c>
      <c r="K18" s="134"/>
      <c r="L18" s="135">
        <f>入學要求!S213</f>
        <v>0</v>
      </c>
      <c r="M18" s="136" t="s">
        <v>964</v>
      </c>
      <c r="N18" s="137">
        <v>3</v>
      </c>
      <c r="O18" s="137">
        <v>3</v>
      </c>
      <c r="P18" s="137">
        <v>2</v>
      </c>
      <c r="Q18" s="137">
        <v>2</v>
      </c>
      <c r="R18" s="137">
        <v>2</v>
      </c>
      <c r="S18" s="137"/>
      <c r="T18" s="138"/>
    </row>
    <row r="19" spans="1:20" ht="18" customHeight="1">
      <c r="A19" s="19" t="s">
        <v>949</v>
      </c>
      <c r="B19" s="19"/>
      <c r="C19" s="19" t="s">
        <v>950</v>
      </c>
      <c r="D19" s="19" t="s">
        <v>909</v>
      </c>
      <c r="E19" s="19" t="s">
        <v>214</v>
      </c>
      <c r="F19" s="219">
        <v>21</v>
      </c>
      <c r="G19" s="230">
        <f>計分版!B15</f>
        <v>3.3999999999999998E-9</v>
      </c>
      <c r="H19" s="83">
        <f t="shared" si="0"/>
        <v>-20.9999999966</v>
      </c>
      <c r="I19" s="84">
        <f t="shared" si="2"/>
        <v>-6176470587.2352943</v>
      </c>
      <c r="J19" s="120">
        <v>20</v>
      </c>
      <c r="K19" s="93"/>
      <c r="L19" s="86">
        <f>入學要求!S214</f>
        <v>0</v>
      </c>
      <c r="M19" s="94" t="s">
        <v>964</v>
      </c>
      <c r="N19" s="47">
        <v>3</v>
      </c>
      <c r="O19" s="47">
        <v>3</v>
      </c>
      <c r="P19" s="47">
        <v>2</v>
      </c>
      <c r="Q19" s="47">
        <v>2</v>
      </c>
      <c r="R19" s="47">
        <v>2</v>
      </c>
      <c r="S19" s="47"/>
      <c r="T19" s="64"/>
    </row>
    <row r="20" spans="1:20" s="139" customFormat="1" ht="18" customHeight="1">
      <c r="A20" s="130" t="s">
        <v>951</v>
      </c>
      <c r="B20" s="130"/>
      <c r="C20" s="130" t="s">
        <v>952</v>
      </c>
      <c r="D20" s="130" t="s">
        <v>910</v>
      </c>
      <c r="E20" s="130" t="s">
        <v>214</v>
      </c>
      <c r="F20" s="218">
        <v>20</v>
      </c>
      <c r="G20" s="236">
        <f>計分版!B15</f>
        <v>3.3999999999999998E-9</v>
      </c>
      <c r="H20" s="131">
        <f t="shared" si="0"/>
        <v>-19.9999999966</v>
      </c>
      <c r="I20" s="132">
        <f t="shared" si="2"/>
        <v>-5882352940.1764708</v>
      </c>
      <c r="J20" s="133">
        <v>20</v>
      </c>
      <c r="K20" s="134"/>
      <c r="L20" s="135">
        <f>入學要求!S215</f>
        <v>0</v>
      </c>
      <c r="M20" s="136" t="s">
        <v>964</v>
      </c>
      <c r="N20" s="137">
        <v>3</v>
      </c>
      <c r="O20" s="137">
        <v>3</v>
      </c>
      <c r="P20" s="137">
        <v>2</v>
      </c>
      <c r="Q20" s="137">
        <v>2</v>
      </c>
      <c r="R20" s="137">
        <v>2</v>
      </c>
      <c r="S20" s="137"/>
      <c r="T20" s="138"/>
    </row>
    <row r="21" spans="1:20" ht="18" customHeight="1">
      <c r="A21" s="19" t="s">
        <v>953</v>
      </c>
      <c r="B21" s="19"/>
      <c r="C21" s="19" t="s">
        <v>954</v>
      </c>
      <c r="D21" s="19" t="s">
        <v>911</v>
      </c>
      <c r="E21" s="19" t="s">
        <v>214</v>
      </c>
      <c r="F21" s="219">
        <v>21</v>
      </c>
      <c r="G21" s="230">
        <f>計分版!B15</f>
        <v>3.3999999999999998E-9</v>
      </c>
      <c r="H21" s="83">
        <f t="shared" si="0"/>
        <v>-20.9999999966</v>
      </c>
      <c r="I21" s="84">
        <f t="shared" si="2"/>
        <v>-6176470587.2352943</v>
      </c>
      <c r="J21" s="120">
        <v>40</v>
      </c>
      <c r="K21" s="93"/>
      <c r="L21" s="86">
        <f>入學要求!S216</f>
        <v>0</v>
      </c>
      <c r="M21" s="94" t="s">
        <v>964</v>
      </c>
      <c r="N21" s="47">
        <v>3</v>
      </c>
      <c r="O21" s="47">
        <v>3</v>
      </c>
      <c r="P21" s="47">
        <v>2</v>
      </c>
      <c r="Q21" s="47">
        <v>2</v>
      </c>
      <c r="R21" s="47">
        <v>2</v>
      </c>
      <c r="S21" s="47"/>
      <c r="T21" s="64"/>
    </row>
    <row r="22" spans="1:20" s="139" customFormat="1" ht="18" customHeight="1">
      <c r="A22" s="130" t="s">
        <v>955</v>
      </c>
      <c r="B22" s="130"/>
      <c r="C22" s="130" t="s">
        <v>956</v>
      </c>
      <c r="D22" s="130" t="s">
        <v>912</v>
      </c>
      <c r="E22" s="130" t="s">
        <v>214</v>
      </c>
      <c r="F22" s="218">
        <v>20</v>
      </c>
      <c r="G22" s="236">
        <f>計分版!B15</f>
        <v>3.3999999999999998E-9</v>
      </c>
      <c r="H22" s="131">
        <f t="shared" si="0"/>
        <v>-19.9999999966</v>
      </c>
      <c r="I22" s="132">
        <f t="shared" si="2"/>
        <v>-5882352940.1764708</v>
      </c>
      <c r="J22" s="133">
        <v>40</v>
      </c>
      <c r="K22" s="134"/>
      <c r="L22" s="135">
        <f>入學要求!S217</f>
        <v>0</v>
      </c>
      <c r="M22" s="136" t="s">
        <v>964</v>
      </c>
      <c r="N22" s="137">
        <v>3</v>
      </c>
      <c r="O22" s="137">
        <v>3</v>
      </c>
      <c r="P22" s="137">
        <v>2</v>
      </c>
      <c r="Q22" s="137">
        <v>2</v>
      </c>
      <c r="R22" s="137">
        <v>2</v>
      </c>
      <c r="S22" s="137"/>
      <c r="T22" s="138"/>
    </row>
    <row r="23" spans="1:20" ht="18" customHeight="1">
      <c r="A23" s="19" t="s">
        <v>957</v>
      </c>
      <c r="B23" s="19"/>
      <c r="C23" s="19" t="s">
        <v>958</v>
      </c>
      <c r="D23" s="19" t="s">
        <v>913</v>
      </c>
      <c r="E23" s="19" t="s">
        <v>214</v>
      </c>
      <c r="F23" s="219">
        <v>21</v>
      </c>
      <c r="G23" s="230">
        <f>計分版!B15</f>
        <v>3.3999999999999998E-9</v>
      </c>
      <c r="H23" s="22" t="s">
        <v>393</v>
      </c>
      <c r="I23" s="23" t="s">
        <v>393</v>
      </c>
      <c r="J23" s="120">
        <v>20</v>
      </c>
      <c r="K23" s="93"/>
      <c r="L23" s="86">
        <f>入學要求!S218</f>
        <v>0</v>
      </c>
      <c r="M23" s="94" t="s">
        <v>964</v>
      </c>
      <c r="N23" s="47">
        <v>3</v>
      </c>
      <c r="O23" s="47">
        <v>5</v>
      </c>
      <c r="P23" s="47">
        <v>2</v>
      </c>
      <c r="Q23" s="47">
        <v>2</v>
      </c>
      <c r="R23" s="47">
        <v>2</v>
      </c>
      <c r="S23" s="47"/>
      <c r="T23" s="64"/>
    </row>
    <row r="24" spans="1:20" s="139" customFormat="1" ht="18" customHeight="1">
      <c r="A24" s="130" t="s">
        <v>959</v>
      </c>
      <c r="B24" s="130"/>
      <c r="C24" s="130" t="s">
        <v>960</v>
      </c>
      <c r="D24" s="130" t="s">
        <v>914</v>
      </c>
      <c r="E24" s="130" t="s">
        <v>82</v>
      </c>
      <c r="F24" s="218">
        <v>17</v>
      </c>
      <c r="G24" s="236">
        <f>計分版!B15</f>
        <v>3.3999999999999998E-9</v>
      </c>
      <c r="H24" s="131">
        <f t="shared" si="0"/>
        <v>-16.9999999966</v>
      </c>
      <c r="I24" s="132">
        <f t="shared" ref="I24" si="3">(G24-F24)/G24</f>
        <v>-4999999999</v>
      </c>
      <c r="J24" s="133">
        <v>330</v>
      </c>
      <c r="K24" s="134"/>
      <c r="L24" s="135">
        <f>入學要求!S219</f>
        <v>0</v>
      </c>
      <c r="M24" s="136" t="s">
        <v>964</v>
      </c>
      <c r="N24" s="137">
        <v>2</v>
      </c>
      <c r="O24" s="137">
        <v>2</v>
      </c>
      <c r="P24" s="137">
        <v>2</v>
      </c>
      <c r="Q24" s="137">
        <v>2</v>
      </c>
      <c r="R24" s="137">
        <v>2</v>
      </c>
      <c r="S24" s="137"/>
      <c r="T24" s="138"/>
    </row>
    <row r="25" spans="1:20" ht="18" customHeight="1">
      <c r="A25" s="66"/>
      <c r="B25" s="66"/>
      <c r="C25" s="66"/>
      <c r="D25" s="66"/>
      <c r="E25" s="68"/>
      <c r="F25" s="73"/>
      <c r="G25" s="67"/>
      <c r="H25" s="69"/>
      <c r="I25" s="70"/>
      <c r="J25" s="67"/>
      <c r="K25" s="71"/>
      <c r="L25" s="66"/>
      <c r="M25" s="67"/>
      <c r="N25" s="67"/>
      <c r="O25" s="67"/>
      <c r="P25" s="67"/>
      <c r="Q25" s="67"/>
      <c r="R25" s="67"/>
      <c r="S25" s="67"/>
    </row>
    <row r="26" spans="1:20" s="66" customFormat="1">
      <c r="A26" s="68" t="s">
        <v>1187</v>
      </c>
      <c r="B26" s="72"/>
      <c r="C26" s="72"/>
      <c r="D26" s="72"/>
      <c r="E26" s="68"/>
      <c r="F26" s="73"/>
      <c r="G26" s="73"/>
      <c r="H26" s="74"/>
      <c r="I26" s="75"/>
      <c r="J26" s="73"/>
      <c r="K26" s="76"/>
      <c r="L26" s="72"/>
      <c r="M26" s="73"/>
      <c r="N26" s="73"/>
      <c r="O26" s="73"/>
      <c r="P26" s="73"/>
      <c r="Q26" s="73"/>
      <c r="R26" s="73"/>
      <c r="S26" s="73"/>
      <c r="T26" s="100"/>
    </row>
    <row r="27" spans="1:20" s="66" customFormat="1">
      <c r="A27" s="72" t="s">
        <v>1184</v>
      </c>
      <c r="B27" s="72"/>
      <c r="C27" s="72"/>
      <c r="D27" s="72"/>
      <c r="E27" s="68"/>
      <c r="F27" s="73"/>
      <c r="G27" s="73"/>
      <c r="H27" s="74"/>
      <c r="I27" s="75"/>
      <c r="J27" s="73"/>
      <c r="K27" s="76"/>
      <c r="L27" s="72"/>
      <c r="M27" s="73"/>
      <c r="N27" s="73"/>
      <c r="O27" s="73"/>
      <c r="P27" s="73"/>
      <c r="Q27" s="73"/>
      <c r="R27" s="73"/>
      <c r="S27" s="67"/>
      <c r="T27" s="100"/>
    </row>
    <row r="28" spans="1:20">
      <c r="A28" s="66"/>
      <c r="B28" s="66"/>
      <c r="C28" s="66"/>
      <c r="D28" s="66"/>
      <c r="E28" s="68"/>
      <c r="F28" s="73"/>
      <c r="G28" s="67"/>
      <c r="H28" s="69"/>
      <c r="I28" s="70"/>
      <c r="J28" s="67"/>
      <c r="K28" s="71"/>
      <c r="L28" s="66"/>
      <c r="M28" s="67"/>
      <c r="N28" s="67"/>
      <c r="O28" s="67"/>
      <c r="P28" s="67"/>
      <c r="Q28" s="67"/>
      <c r="R28" s="67"/>
      <c r="S28" s="67"/>
    </row>
    <row r="29" spans="1:20">
      <c r="A29" s="72" t="s">
        <v>1352</v>
      </c>
      <c r="B29" s="72"/>
      <c r="C29" s="72"/>
      <c r="D29" s="72"/>
      <c r="E29" s="68"/>
      <c r="F29" s="73"/>
      <c r="G29" s="67"/>
      <c r="H29" s="69"/>
      <c r="I29" s="70"/>
      <c r="J29" s="67"/>
      <c r="K29" s="71"/>
      <c r="L29" s="66"/>
      <c r="M29" s="67"/>
      <c r="N29" s="67"/>
      <c r="O29" s="67"/>
      <c r="P29" s="67"/>
      <c r="Q29" s="67"/>
      <c r="R29" s="67"/>
      <c r="S29" s="67"/>
    </row>
    <row r="30" spans="1:20">
      <c r="A30" s="269" t="s">
        <v>1377</v>
      </c>
      <c r="B30" s="72"/>
      <c r="C30" s="72"/>
      <c r="D30" s="72"/>
      <c r="E30" s="68"/>
      <c r="F30" s="73"/>
      <c r="G30" s="67"/>
      <c r="H30" s="69"/>
      <c r="I30" s="70"/>
      <c r="J30" s="67"/>
      <c r="K30" s="71"/>
      <c r="L30" s="66"/>
      <c r="M30" s="67"/>
      <c r="N30" s="67"/>
      <c r="O30" s="67"/>
      <c r="P30" s="67"/>
      <c r="Q30" s="67"/>
      <c r="R30" s="67"/>
      <c r="S30" s="67"/>
    </row>
    <row r="31" spans="1:20">
      <c r="A31" s="270" t="s">
        <v>1378</v>
      </c>
      <c r="B31" s="72"/>
      <c r="C31" s="72"/>
      <c r="D31" s="72"/>
      <c r="E31" s="68"/>
      <c r="F31" s="73"/>
      <c r="G31" s="67"/>
      <c r="H31" s="69"/>
      <c r="I31" s="70"/>
      <c r="J31" s="67"/>
      <c r="K31" s="71"/>
      <c r="L31" s="66"/>
      <c r="M31" s="67"/>
      <c r="N31" s="67"/>
      <c r="O31" s="67"/>
      <c r="P31" s="67"/>
      <c r="Q31" s="67"/>
      <c r="R31" s="67"/>
      <c r="S31" s="67"/>
    </row>
    <row r="32" spans="1:20">
      <c r="A32" s="269"/>
      <c r="B32" s="72"/>
      <c r="C32" s="72"/>
      <c r="D32" s="72"/>
      <c r="E32" s="68"/>
      <c r="F32" s="73"/>
      <c r="G32" s="67"/>
      <c r="H32" s="69"/>
      <c r="I32" s="70"/>
      <c r="J32" s="67"/>
      <c r="K32" s="71"/>
      <c r="L32" s="66"/>
      <c r="M32" s="67"/>
      <c r="N32" s="67"/>
      <c r="O32" s="67"/>
      <c r="P32" s="67"/>
      <c r="Q32" s="67"/>
      <c r="R32" s="67"/>
      <c r="S32" s="67"/>
    </row>
    <row r="33" spans="1:19">
      <c r="A33" s="269"/>
      <c r="B33" s="72"/>
      <c r="C33" s="72"/>
      <c r="D33" s="72"/>
      <c r="E33" s="68"/>
      <c r="F33" s="73"/>
      <c r="G33" s="67"/>
      <c r="H33" s="69"/>
      <c r="I33" s="70"/>
      <c r="J33" s="67"/>
      <c r="K33" s="71"/>
      <c r="L33" s="66"/>
      <c r="M33" s="67"/>
      <c r="N33" s="67"/>
      <c r="O33" s="67"/>
      <c r="P33" s="67"/>
      <c r="Q33" s="67"/>
      <c r="R33" s="67"/>
      <c r="S33" s="67"/>
    </row>
    <row r="34" spans="1:19">
      <c r="F34" s="260"/>
    </row>
    <row r="35" spans="1:19" hidden="1"/>
    <row r="36" spans="1:19" hidden="1"/>
    <row r="37" spans="1:19" hidden="1"/>
    <row r="38" spans="1:19" hidden="1"/>
    <row r="39" spans="1:19" hidden="1"/>
    <row r="40" spans="1:19" hidden="1"/>
    <row r="41" spans="1:19" hidden="1"/>
    <row r="42" spans="1:19" hidden="1"/>
    <row r="43" spans="1:19" hidden="1"/>
    <row r="44" spans="1:19" hidden="1"/>
    <row r="45" spans="1:19" hidden="1"/>
    <row r="46" spans="1:19" hidden="1"/>
    <row r="47" spans="1:19" hidden="1"/>
    <row r="48" spans="1:19"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sheetData>
  <mergeCells count="1">
    <mergeCell ref="H1:I1"/>
  </mergeCells>
  <phoneticPr fontId="2" type="noConversion"/>
  <conditionalFormatting sqref="H2:I24">
    <cfRule type="cellIs" dxfId="82" priority="82" operator="equal">
      <formula>"/"</formula>
    </cfRule>
    <cfRule type="cellIs" dxfId="81" priority="83" operator="lessThan">
      <formula>0</formula>
    </cfRule>
    <cfRule type="cellIs" dxfId="80" priority="84" operator="greaterThan">
      <formula>0</formula>
    </cfRule>
  </conditionalFormatting>
  <conditionalFormatting sqref="F2:F24">
    <cfRule type="expression" dxfId="79" priority="81">
      <formula>$H$1="差距(UQ)"</formula>
    </cfRule>
  </conditionalFormatting>
  <conditionalFormatting sqref="L2:L24">
    <cfRule type="cellIs" dxfId="78" priority="75" operator="equal">
      <formula>2</formula>
    </cfRule>
    <cfRule type="cellIs" dxfId="77" priority="76" operator="equal">
      <formula>1</formula>
    </cfRule>
    <cfRule type="cellIs" dxfId="76" priority="77" operator="equal">
      <formula>0</formula>
    </cfRule>
  </conditionalFormatting>
  <conditionalFormatting sqref="J2:J8 J11:J24">
    <cfRule type="cellIs" dxfId="75" priority="74" operator="lessThan">
      <formula>30</formula>
    </cfRule>
  </conditionalFormatting>
  <hyperlinks>
    <hyperlink ref="A30" r:id="rId1" display="https://www.eduhk.hk/degree/admission scores_2019.pdf" xr:uid="{C0562955-D173-4697-8CDB-EB3B4BBE6889}"/>
    <hyperlink ref="A31" r:id="rId2" xr:uid="{0D041DC1-A463-4819-A963-5B7BA7616DEB}"/>
  </hyperlinks>
  <pageMargins left="0.7" right="0.7" top="0.75" bottom="0.75" header="0.3" footer="0.3"/>
  <pageSetup paperSize="9" orientation="portrait" horizontalDpi="1200" verticalDpi="1200" r:id="rId3"/>
  <legacyDrawing r:id="rId4"/>
  <extLst>
    <ext xmlns:x14="http://schemas.microsoft.com/office/spreadsheetml/2009/9/main" uri="{78C0D931-6437-407d-A8EE-F0AAD7539E65}">
      <x14:conditionalFormattings>
        <x14:conditionalFormatting xmlns:xm="http://schemas.microsoft.com/office/excel/2006/main">
          <x14:cfRule type="cellIs" priority="78" operator="lessThan" id="{638642B0-D7AB-4935-A3AA-44A2ED2BFFC1}">
            <xm:f>計分版!$D$4</xm:f>
            <x14:dxf>
              <font>
                <color rgb="FF006100"/>
              </font>
              <fill>
                <patternFill>
                  <bgColor rgb="FFC6EFCE"/>
                </patternFill>
              </fill>
            </x14:dxf>
          </x14:cfRule>
          <x14:cfRule type="cellIs" priority="87" operator="greaterThan" id="{B4CED519-658F-4EF9-9C05-A7EA3BFC72D4}">
            <xm:f>計分版!$D$13</xm:f>
            <x14:dxf>
              <font>
                <color rgb="FF9C0006"/>
              </font>
              <fill>
                <patternFill>
                  <bgColor rgb="FFFFC7CE"/>
                </patternFill>
              </fill>
            </x14:dxf>
          </x14:cfRule>
          <xm:sqref>O2:O24</xm:sqref>
        </x14:conditionalFormatting>
        <x14:conditionalFormatting xmlns:xm="http://schemas.microsoft.com/office/excel/2006/main">
          <x14:cfRule type="cellIs" priority="34" operator="lessThan" id="{98E02E51-FF13-49DB-9BE7-CF87F2BBC481}">
            <xm:f>LARGE(計分版!$G$13:$L$13,1)</xm:f>
            <x14:dxf>
              <font>
                <color rgb="FF006100"/>
              </font>
              <fill>
                <patternFill>
                  <bgColor rgb="FFC6EFCE"/>
                </patternFill>
              </fill>
            </x14:dxf>
          </x14:cfRule>
          <xm:sqref>R11:R12 R8:R9 R14:R23 R2:R6</xm:sqref>
        </x14:conditionalFormatting>
        <x14:conditionalFormatting xmlns:xm="http://schemas.microsoft.com/office/excel/2006/main">
          <x14:cfRule type="cellIs" priority="85" operator="greaterThan" id="{FCDE4175-350A-4248-80E2-63BF9E547071}">
            <xm:f>計分版!$C$13</xm:f>
            <x14:dxf>
              <font>
                <color rgb="FF9C0006"/>
              </font>
              <fill>
                <patternFill>
                  <bgColor rgb="FFFFC7CE"/>
                </patternFill>
              </fill>
            </x14:dxf>
          </x14:cfRule>
          <x14:cfRule type="cellIs" priority="86" operator="lessThan" id="{9F77AF8A-C430-4724-A4E6-D1AF6A121731}">
            <xm:f>計分版!$C$13</xm:f>
            <x14:dxf>
              <font>
                <color rgb="FF006100"/>
              </font>
              <fill>
                <patternFill>
                  <bgColor rgb="FFC6EFCE"/>
                </patternFill>
              </fill>
            </x14:dxf>
          </x14:cfRule>
          <xm:sqref>N2:N24</xm:sqref>
        </x14:conditionalFormatting>
        <x14:conditionalFormatting xmlns:xm="http://schemas.microsoft.com/office/excel/2006/main">
          <x14:cfRule type="cellIs" priority="88" operator="lessThan" id="{389E8B2C-8B6E-4D9A-8E7B-FA7DC4A54849}">
            <xm:f>計分版!$E$13</xm:f>
            <x14:dxf>
              <font>
                <color rgb="FF006100"/>
              </font>
              <fill>
                <patternFill>
                  <bgColor rgb="FFC6EFCE"/>
                </patternFill>
              </fill>
            </x14:dxf>
          </x14:cfRule>
          <x14:cfRule type="cellIs" priority="89" operator="greaterThan" id="{80BA4D8C-3943-4FD8-9B85-C239670228FC}">
            <xm:f>計分版!$E$13</xm:f>
            <x14:dxf>
              <font>
                <color rgb="FF9C0006"/>
              </font>
              <fill>
                <patternFill>
                  <bgColor rgb="FFFFC7CE"/>
                </patternFill>
              </fill>
            </x14:dxf>
          </x14:cfRule>
          <xm:sqref>P2:P23</xm:sqref>
        </x14:conditionalFormatting>
        <x14:conditionalFormatting xmlns:xm="http://schemas.microsoft.com/office/excel/2006/main">
          <x14:cfRule type="cellIs" priority="90" operator="lessThan" id="{B0391A63-DCE3-4A72-93E3-B1CFBF2EE6D9}">
            <xm:f>計分版!$F$13</xm:f>
            <x14:dxf>
              <font>
                <color rgb="FF006100"/>
              </font>
              <fill>
                <patternFill>
                  <bgColor rgb="FFC6EFCE"/>
                </patternFill>
              </fill>
            </x14:dxf>
          </x14:cfRule>
          <x14:cfRule type="cellIs" priority="91" operator="greaterThan" id="{96393630-0700-4EE2-8C71-E53EF996D52D}">
            <xm:f>計分版!$F$13</xm:f>
            <x14:dxf>
              <font>
                <color rgb="FF9C0006"/>
              </font>
              <fill>
                <patternFill>
                  <bgColor rgb="FFFFC7CE"/>
                </patternFill>
              </fill>
            </x14:dxf>
          </x14:cfRule>
          <xm:sqref>Q2:Q23</xm:sqref>
        </x14:conditionalFormatting>
        <x14:conditionalFormatting xmlns:xm="http://schemas.microsoft.com/office/excel/2006/main">
          <x14:cfRule type="cellIs" priority="29" operator="lessThan" id="{C5DB939D-30FC-4944-B6FE-7A4FAD5F5A51}">
            <xm:f>LARGE(計分版!$E$8:$L$8,1)</xm:f>
            <x14:dxf>
              <font>
                <color rgb="FF006100"/>
              </font>
              <fill>
                <patternFill>
                  <bgColor rgb="FFC6EFCE"/>
                </patternFill>
              </fill>
            </x14:dxf>
          </x14:cfRule>
          <x14:cfRule type="cellIs" priority="30" operator="greaterThan" id="{6BB615AC-9059-447E-BEB5-9DE0ADA9F5FD}">
            <xm:f>LARGE(計分版!$E$8:$L$8,1)</xm:f>
            <x14:dxf>
              <font>
                <color rgb="FF9C0006"/>
              </font>
              <fill>
                <patternFill>
                  <bgColor rgb="FFFFC7CE"/>
                </patternFill>
              </fill>
            </x14:dxf>
          </x14:cfRule>
          <xm:sqref>P24</xm:sqref>
        </x14:conditionalFormatting>
        <x14:conditionalFormatting xmlns:xm="http://schemas.microsoft.com/office/excel/2006/main">
          <x14:cfRule type="cellIs" priority="21" operator="lessThan" id="{BC45572D-D526-4A53-AA3A-8BF961BD4C68}">
            <xm:f>LARGE(計分版!$G$13:$L$13,1)</xm:f>
            <x14:dxf>
              <font>
                <color rgb="FF006100"/>
              </font>
              <fill>
                <patternFill>
                  <bgColor rgb="FFC6EFCE"/>
                </patternFill>
              </fill>
            </x14:dxf>
          </x14:cfRule>
          <x14:cfRule type="cellIs" priority="22" operator="greaterThan" id="{A84FFCA1-0CD2-4496-A6BE-43F2AB4C7324}">
            <xm:f>LARGE(計分版!$G$13:$L$13,1)</xm:f>
            <x14:dxf>
              <font>
                <color rgb="FF9C0006"/>
              </font>
              <fill>
                <patternFill>
                  <bgColor rgb="FFFFC7CE"/>
                </patternFill>
              </fill>
            </x14:dxf>
          </x14:cfRule>
          <xm:sqref>R5</xm:sqref>
        </x14:conditionalFormatting>
        <x14:conditionalFormatting xmlns:xm="http://schemas.microsoft.com/office/excel/2006/main">
          <x14:cfRule type="expression" priority="19" stopIfTrue="1" id="{800BD986-7A18-43D3-8DB5-575327A6510D}">
            <xm:f>AND(計分版!$E$8&gt;3,計分版!$G$8&gt;2)</xm:f>
            <x14:dxf>
              <font>
                <color rgb="FF006100"/>
              </font>
              <fill>
                <patternFill>
                  <bgColor rgb="FFC6EFCE"/>
                </patternFill>
              </fill>
            </x14:dxf>
          </x14:cfRule>
          <x14:cfRule type="expression" priority="20" id="{54CDB38F-1B2E-4E70-8C77-F7348E5073C4}">
            <xm:f>計分版!$E$8&gt;5</xm:f>
            <x14:dxf>
              <font>
                <color rgb="FF9C5700"/>
              </font>
              <fill>
                <patternFill>
                  <bgColor rgb="FFFFEB9C"/>
                </patternFill>
              </fill>
            </x14:dxf>
          </x14:cfRule>
          <xm:sqref>R5</xm:sqref>
        </x14:conditionalFormatting>
        <x14:conditionalFormatting xmlns:xm="http://schemas.microsoft.com/office/excel/2006/main">
          <x14:cfRule type="cellIs" priority="13" operator="lessThan" id="{767442C9-AE7C-475A-BC71-104284C4B730}">
            <xm:f>LARGE(計分版!$G$13:$L$13,1)</xm:f>
            <x14:dxf>
              <font>
                <color rgb="FF006100"/>
              </font>
              <fill>
                <patternFill>
                  <bgColor rgb="FFC6EFCE"/>
                </patternFill>
              </fill>
            </x14:dxf>
          </x14:cfRule>
          <x14:cfRule type="cellIs" priority="14" operator="greaterThan" id="{6A2C9AFA-825E-4986-8C9A-6560ECA94CB6}">
            <xm:f>LARGE(計分版!$G$13:$L$13,1)</xm:f>
            <x14:dxf>
              <font>
                <color rgb="FF9C0006"/>
              </font>
              <fill>
                <patternFill>
                  <bgColor rgb="FFFFC7CE"/>
                </patternFill>
              </fill>
            </x14:dxf>
          </x14:cfRule>
          <xm:sqref>R10</xm:sqref>
        </x14:conditionalFormatting>
        <x14:conditionalFormatting xmlns:xm="http://schemas.microsoft.com/office/excel/2006/main">
          <x14:cfRule type="expression" priority="11" stopIfTrue="1" id="{66B679FF-1F22-4DE7-8E5D-C08765F28E0C}">
            <xm:f>AND(計分版!$E$8&gt;3,計分版!$G$8&gt;2)</xm:f>
            <x14:dxf>
              <font>
                <color rgb="FF006100"/>
              </font>
              <fill>
                <patternFill>
                  <bgColor rgb="FFC6EFCE"/>
                </patternFill>
              </fill>
            </x14:dxf>
          </x14:cfRule>
          <x14:cfRule type="expression" priority="12" id="{F1CCB273-BCF9-4B32-B3BB-B99A2ECBF183}">
            <xm:f>計分版!$E$8&gt;5</xm:f>
            <x14:dxf>
              <font>
                <color rgb="FF9C5700"/>
              </font>
              <fill>
                <patternFill>
                  <bgColor rgb="FFFFEB9C"/>
                </patternFill>
              </fill>
            </x14:dxf>
          </x14:cfRule>
          <xm:sqref>R10</xm:sqref>
        </x14:conditionalFormatting>
        <x14:conditionalFormatting xmlns:xm="http://schemas.microsoft.com/office/excel/2006/main">
          <x14:cfRule type="expression" priority="7" id="{6FA2320E-BE44-4DA0-8BBD-B81A05B768A9}">
            <xm:f>OR(計分版!P190&gt;2,計分版!V189&gt;2)</xm:f>
            <x14:dxf>
              <font>
                <color rgb="FF006100"/>
              </font>
              <fill>
                <patternFill>
                  <bgColor rgb="FFC6EFCE"/>
                </patternFill>
              </fill>
            </x14:dxf>
          </x14:cfRule>
          <xm:sqref>R7</xm:sqref>
        </x14:conditionalFormatting>
        <x14:conditionalFormatting xmlns:xm="http://schemas.microsoft.com/office/excel/2006/main">
          <x14:cfRule type="cellIs" priority="35" operator="greaterThan" id="{5A24D816-5807-4FA1-BBE0-6B8B4496F075}">
            <xm:f>LARGE(計分版!$G$13:$L$13,1)</xm:f>
            <x14:dxf>
              <font>
                <color rgb="FF9C0006"/>
              </font>
              <fill>
                <patternFill>
                  <bgColor rgb="FFFFC7CE"/>
                </patternFill>
              </fill>
            </x14:dxf>
          </x14:cfRule>
          <xm:sqref>R11:R23 R2:R9</xm:sqref>
        </x14:conditionalFormatting>
        <x14:conditionalFormatting xmlns:xm="http://schemas.microsoft.com/office/excel/2006/main">
          <x14:cfRule type="cellIs" priority="5" operator="lessThan" id="{2E44841F-8AA0-44E1-B782-32905702CA0F}">
            <xm:f>LARGE(計分版!$E$8:$L$8,1)</xm:f>
            <x14:dxf>
              <font>
                <color rgb="FF006100"/>
              </font>
              <fill>
                <patternFill>
                  <bgColor rgb="FFC6EFCE"/>
                </patternFill>
              </fill>
            </x14:dxf>
          </x14:cfRule>
          <x14:cfRule type="cellIs" priority="6" operator="greaterThan" id="{6F37A650-2F57-43BE-A779-C617478D39FB}">
            <xm:f>LARGE(計分版!$E$8:$L$8,1)</xm:f>
            <x14:dxf>
              <font>
                <color rgb="FF9C0006"/>
              </font>
              <fill>
                <patternFill>
                  <bgColor rgb="FFFFC7CE"/>
                </patternFill>
              </fill>
            </x14:dxf>
          </x14:cfRule>
          <xm:sqref>Q24</xm:sqref>
        </x14:conditionalFormatting>
        <x14:conditionalFormatting xmlns:xm="http://schemas.microsoft.com/office/excel/2006/main">
          <x14:cfRule type="cellIs" priority="3" operator="lessThan" id="{DF826F2F-6163-4284-85F9-5F30EA235A8C}">
            <xm:f>LARGE(計分版!$E$8:$L$8,1)</xm:f>
            <x14:dxf>
              <font>
                <color rgb="FF006100"/>
              </font>
              <fill>
                <patternFill>
                  <bgColor rgb="FFC6EFCE"/>
                </patternFill>
              </fill>
            </x14:dxf>
          </x14:cfRule>
          <x14:cfRule type="cellIs" priority="4" operator="greaterThan" id="{3213847F-4BB6-4B77-B2AB-2BE40B375177}">
            <xm:f>LARGE(計分版!$E$8:$L$8,1)</xm:f>
            <x14:dxf>
              <font>
                <color rgb="FF9C0006"/>
              </font>
              <fill>
                <patternFill>
                  <bgColor rgb="FFFFC7CE"/>
                </patternFill>
              </fill>
            </x14:dxf>
          </x14:cfRule>
          <xm:sqref>R24</xm:sqref>
        </x14:conditionalFormatting>
        <x14:conditionalFormatting xmlns:xm="http://schemas.microsoft.com/office/excel/2006/main">
          <x14:cfRule type="expression" priority="1" id="{972B897B-994E-4282-90EC-6F017B29C787}">
            <xm:f>入學要求!$P$208=0</xm:f>
            <x14:dxf>
              <font>
                <color rgb="FF9C0006"/>
              </font>
              <fill>
                <patternFill>
                  <bgColor rgb="FFFFC7CE"/>
                </patternFill>
              </fill>
            </x14:dxf>
          </x14:cfRule>
          <x14:cfRule type="expression" priority="2" id="{476BDA2E-7F0E-4D28-95A0-FAD4EFF9E00A}">
            <xm:f>入學要求!$P$208=1</xm:f>
            <x14:dxf>
              <font>
                <color rgb="FF006100"/>
              </font>
              <fill>
                <patternFill>
                  <bgColor rgb="FFC6EFCE"/>
                </patternFill>
              </fill>
            </x14:dxf>
          </x14:cfRule>
          <xm:sqref>R13</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331C-2871-4077-83EE-130146C36829}">
  <dimension ref="A1:XFC121"/>
  <sheetViews>
    <sheetView zoomScaleNormal="100" workbookViewId="0">
      <pane ySplit="1" topLeftCell="A23" activePane="bottomLeft" state="frozen"/>
      <selection pane="bottomLeft" activeCell="A37" sqref="A37"/>
    </sheetView>
  </sheetViews>
  <sheetFormatPr defaultColWidth="0" defaultRowHeight="0" customHeight="1" zeroHeight="1"/>
  <cols>
    <col min="1" max="1" width="7" style="20" customWidth="1"/>
    <col min="2" max="2" width="8.625" style="20" customWidth="1"/>
    <col min="3" max="3" width="22.5" style="20" customWidth="1"/>
    <col min="4" max="4" width="4.25" style="20" hidden="1" customWidth="1"/>
    <col min="5" max="5" width="7.25" style="18" customWidth="1"/>
    <col min="6" max="6" width="6.875" style="46" customWidth="1"/>
    <col min="7" max="7" width="4.625" style="46" customWidth="1"/>
    <col min="8" max="8" width="6.875" style="46" customWidth="1"/>
    <col min="9" max="9" width="7.625" style="54" customWidth="1"/>
    <col min="10" max="10" width="8.375" style="55" customWidth="1"/>
    <col min="11" max="11" width="5" style="46" customWidth="1"/>
    <col min="12" max="12" width="4.5" style="53" hidden="1" customWidth="1"/>
    <col min="13" max="13" width="4" style="20" customWidth="1"/>
    <col min="14" max="14" width="8.75" style="46" customWidth="1"/>
    <col min="15" max="19" width="2.75" style="46" customWidth="1"/>
    <col min="20" max="20" width="9" style="20" customWidth="1"/>
    <col min="21" max="21" width="20.75" style="20" customWidth="1"/>
    <col min="22" max="22" width="0" style="20" hidden="1" customWidth="1"/>
    <col min="23" max="26" width="9" style="20" customWidth="1"/>
    <col min="27" max="16383" width="9" style="20" hidden="1"/>
    <col min="16384" max="16384" width="4.875" style="20" hidden="1"/>
  </cols>
  <sheetData>
    <row r="1" spans="1:19" s="276" customFormat="1" ht="18" customHeight="1">
      <c r="A1" s="276" t="s">
        <v>228</v>
      </c>
      <c r="B1" s="276" t="s">
        <v>325</v>
      </c>
      <c r="C1" s="276" t="s">
        <v>400</v>
      </c>
      <c r="E1" s="276" t="s">
        <v>229</v>
      </c>
      <c r="F1" s="277" t="s">
        <v>327</v>
      </c>
      <c r="G1" s="277" t="s">
        <v>328</v>
      </c>
      <c r="H1" s="277" t="s">
        <v>230</v>
      </c>
      <c r="I1" s="321" t="s">
        <v>397</v>
      </c>
      <c r="J1" s="321"/>
      <c r="K1" s="277" t="s">
        <v>394</v>
      </c>
      <c r="L1" s="278" t="s">
        <v>436</v>
      </c>
      <c r="M1" s="276" t="s">
        <v>414</v>
      </c>
      <c r="N1" s="277" t="s">
        <v>415</v>
      </c>
      <c r="O1" s="277" t="s">
        <v>405</v>
      </c>
      <c r="P1" s="277" t="s">
        <v>406</v>
      </c>
      <c r="Q1" s="277" t="s">
        <v>407</v>
      </c>
      <c r="R1" s="277" t="s">
        <v>408</v>
      </c>
      <c r="S1" s="277" t="s">
        <v>409</v>
      </c>
    </row>
    <row r="2" spans="1:19" ht="18" customHeight="1">
      <c r="A2" s="19" t="s">
        <v>1250</v>
      </c>
      <c r="B2" s="19" t="s">
        <v>1381</v>
      </c>
      <c r="C2" s="19" t="s">
        <v>950</v>
      </c>
      <c r="D2" s="19" t="s">
        <v>1251</v>
      </c>
      <c r="E2" s="19" t="s">
        <v>1380</v>
      </c>
      <c r="F2" s="21">
        <v>17</v>
      </c>
      <c r="G2" s="21">
        <v>15</v>
      </c>
      <c r="H2" s="230">
        <f>計分版!D335</f>
        <v>1.9500000000000001E-9</v>
      </c>
      <c r="I2" s="91">
        <f>IF(I$1="差距(Median)",H2-F2,IF(I$1="差距(UQ)",H2-#REF!,IF(I$1="差距(LQ)",H2-G2)))</f>
        <v>-16.999999998050001</v>
      </c>
      <c r="J2" s="92">
        <f>IF(I$1="差距(Median)",(H2-F2)/H2,IF(I$1="差距(UQ)",(H2-#REF!)/H2,IF(I$1="差距(LQ)",(H2-G2)/H2)))</f>
        <v>-8717948716.9487171</v>
      </c>
      <c r="K2" s="264">
        <v>90</v>
      </c>
      <c r="L2" s="93"/>
      <c r="M2" s="24">
        <f>入學要求!S320</f>
        <v>0</v>
      </c>
      <c r="N2" s="263" t="s">
        <v>416</v>
      </c>
      <c r="O2" s="263">
        <v>3</v>
      </c>
      <c r="P2" s="263">
        <v>3</v>
      </c>
      <c r="Q2" s="263">
        <v>2</v>
      </c>
      <c r="R2" s="263">
        <v>2</v>
      </c>
      <c r="S2" s="263">
        <v>2</v>
      </c>
    </row>
    <row r="3" spans="1:19" s="139" customFormat="1" ht="18" customHeight="1">
      <c r="A3" s="130" t="s">
        <v>1252</v>
      </c>
      <c r="B3" s="130" t="s">
        <v>1381</v>
      </c>
      <c r="C3" s="130" t="s">
        <v>1253</v>
      </c>
      <c r="D3" s="130" t="s">
        <v>1254</v>
      </c>
      <c r="E3" s="130" t="s">
        <v>1380</v>
      </c>
      <c r="F3" s="279">
        <v>17</v>
      </c>
      <c r="G3" s="279">
        <v>16</v>
      </c>
      <c r="H3" s="236">
        <f>計分版!D336</f>
        <v>1.9500000000000001E-9</v>
      </c>
      <c r="I3" s="131">
        <f>IF(I$1="差距(Median)",H3-F3,IF(I$1="差距(UQ)",H3-#REF!,IF(I$1="差距(LQ)",H3-G3)))</f>
        <v>-16.999999998050001</v>
      </c>
      <c r="J3" s="132">
        <f>IF(I$1="差距(Median)",(H3-F3)/H3,IF(I$1="差距(UQ)",(H3-#REF!)/H3,IF(I$1="差距(LQ)",(H3-G3)/H3)))</f>
        <v>-8717948716.9487171</v>
      </c>
      <c r="K3" s="133">
        <v>30</v>
      </c>
      <c r="L3" s="134"/>
      <c r="M3" s="135">
        <f>入學要求!S321</f>
        <v>0</v>
      </c>
      <c r="N3" s="137" t="s">
        <v>416</v>
      </c>
      <c r="O3" s="137">
        <v>3</v>
      </c>
      <c r="P3" s="137">
        <v>3</v>
      </c>
      <c r="Q3" s="137">
        <v>2</v>
      </c>
      <c r="R3" s="137">
        <v>2</v>
      </c>
      <c r="S3" s="137">
        <v>2</v>
      </c>
    </row>
    <row r="4" spans="1:19" ht="18" customHeight="1">
      <c r="A4" s="19" t="s">
        <v>1255</v>
      </c>
      <c r="B4" s="19" t="s">
        <v>1381</v>
      </c>
      <c r="C4" s="19" t="s">
        <v>1256</v>
      </c>
      <c r="D4" s="19" t="s">
        <v>1257</v>
      </c>
      <c r="E4" s="19" t="s">
        <v>1379</v>
      </c>
      <c r="F4" s="21">
        <v>18</v>
      </c>
      <c r="G4" s="21">
        <v>16</v>
      </c>
      <c r="H4" s="230">
        <f>計分版!D337</f>
        <v>1.9500000000000001E-9</v>
      </c>
      <c r="I4" s="91">
        <f>IF(I$1="差距(Median)",H4-F4,IF(I$1="差距(UQ)",H4-#REF!,IF(I$1="差距(LQ)",H4-G4)))</f>
        <v>-17.999999998050001</v>
      </c>
      <c r="J4" s="92">
        <f>IF(I$1="差距(Median)",(H4-F4)/H4,IF(I$1="差距(UQ)",(H4-#REF!)/H4,IF(I$1="差距(LQ)",(H4-G4)/H4)))</f>
        <v>-9230769229.7692299</v>
      </c>
      <c r="K4" s="264">
        <v>50</v>
      </c>
      <c r="L4" s="93"/>
      <c r="M4" s="24">
        <f>入學要求!S322</f>
        <v>0</v>
      </c>
      <c r="N4" s="263" t="s">
        <v>416</v>
      </c>
      <c r="O4" s="263">
        <v>3</v>
      </c>
      <c r="P4" s="263">
        <v>3</v>
      </c>
      <c r="Q4" s="263">
        <v>2</v>
      </c>
      <c r="R4" s="263">
        <v>2</v>
      </c>
      <c r="S4" s="263">
        <v>2</v>
      </c>
    </row>
    <row r="5" spans="1:19" s="139" customFormat="1" ht="18" customHeight="1">
      <c r="A5" s="130" t="s">
        <v>1258</v>
      </c>
      <c r="B5" s="130" t="s">
        <v>1381</v>
      </c>
      <c r="C5" s="130" t="s">
        <v>1259</v>
      </c>
      <c r="D5" s="130" t="s">
        <v>1260</v>
      </c>
      <c r="E5" s="130" t="s">
        <v>1379</v>
      </c>
      <c r="F5" s="279">
        <v>16</v>
      </c>
      <c r="G5" s="279">
        <v>16</v>
      </c>
      <c r="H5" s="236">
        <f>計分版!D338</f>
        <v>1.9500000000000001E-9</v>
      </c>
      <c r="I5" s="131">
        <f>IF(I$1="差距(Median)",H5-F5,IF(I$1="差距(UQ)",H5-#REF!,IF(I$1="差距(LQ)",H5-G5)))</f>
        <v>-15.999999998050001</v>
      </c>
      <c r="J5" s="132">
        <f>IF(I$1="差距(Median)",(H5-F5)/H5,IF(I$1="差距(UQ)",(H5-#REF!)/H5,IF(I$1="差距(LQ)",(H5-G5)/H5)))</f>
        <v>-8205128204.1282053</v>
      </c>
      <c r="K5" s="133">
        <v>30</v>
      </c>
      <c r="L5" s="134"/>
      <c r="M5" s="135">
        <f>入學要求!S323</f>
        <v>0</v>
      </c>
      <c r="N5" s="137" t="s">
        <v>416</v>
      </c>
      <c r="O5" s="137">
        <v>3</v>
      </c>
      <c r="P5" s="137">
        <v>3</v>
      </c>
      <c r="Q5" s="137">
        <v>2</v>
      </c>
      <c r="R5" s="137">
        <v>2</v>
      </c>
      <c r="S5" s="137">
        <v>2</v>
      </c>
    </row>
    <row r="6" spans="1:19" ht="18" customHeight="1">
      <c r="A6" s="19" t="s">
        <v>1261</v>
      </c>
      <c r="B6" s="19" t="s">
        <v>1381</v>
      </c>
      <c r="C6" s="19" t="s">
        <v>1262</v>
      </c>
      <c r="D6" s="19" t="s">
        <v>1263</v>
      </c>
      <c r="E6" s="19" t="s">
        <v>1379</v>
      </c>
      <c r="F6" s="21">
        <v>15</v>
      </c>
      <c r="G6" s="21">
        <v>15</v>
      </c>
      <c r="H6" s="230">
        <f>計分版!D339</f>
        <v>1.9500000000000001E-9</v>
      </c>
      <c r="I6" s="91">
        <f>IF(I$1="差距(Median)",H6-F6,IF(I$1="差距(UQ)",H6-#REF!,IF(I$1="差距(LQ)",H6-G6)))</f>
        <v>-14.999999998050001</v>
      </c>
      <c r="J6" s="92">
        <f>IF(I$1="差距(Median)",(H6-F6)/H6,IF(I$1="差距(UQ)",(H6-#REF!)/H6,IF(I$1="差距(LQ)",(H6-G6)/H6)))</f>
        <v>-7692307691.3076925</v>
      </c>
      <c r="K6" s="264">
        <v>20</v>
      </c>
      <c r="L6" s="93"/>
      <c r="M6" s="24">
        <f>入學要求!S324</f>
        <v>0</v>
      </c>
      <c r="N6" s="263" t="s">
        <v>416</v>
      </c>
      <c r="O6" s="263">
        <v>3</v>
      </c>
      <c r="P6" s="263">
        <v>3</v>
      </c>
      <c r="Q6" s="263">
        <v>2</v>
      </c>
      <c r="R6" s="263">
        <v>2</v>
      </c>
      <c r="S6" s="263">
        <v>2</v>
      </c>
    </row>
    <row r="7" spans="1:19" s="139" customFormat="1" ht="18" customHeight="1">
      <c r="A7" s="130" t="s">
        <v>1264</v>
      </c>
      <c r="B7" s="130" t="s">
        <v>1381</v>
      </c>
      <c r="C7" s="130" t="s">
        <v>1265</v>
      </c>
      <c r="D7" s="130" t="s">
        <v>1266</v>
      </c>
      <c r="E7" s="130" t="s">
        <v>1379</v>
      </c>
      <c r="F7" s="279" t="s">
        <v>393</v>
      </c>
      <c r="G7" s="279" t="s">
        <v>393</v>
      </c>
      <c r="H7" s="236">
        <f>計分版!D340</f>
        <v>1.9500000000000001E-9</v>
      </c>
      <c r="I7" s="280" t="s">
        <v>393</v>
      </c>
      <c r="J7" s="280" t="s">
        <v>393</v>
      </c>
      <c r="K7" s="133">
        <v>30</v>
      </c>
      <c r="L7" s="134"/>
      <c r="M7" s="135">
        <f>入學要求!S325</f>
        <v>0</v>
      </c>
      <c r="N7" s="137" t="s">
        <v>416</v>
      </c>
      <c r="O7" s="137">
        <v>3</v>
      </c>
      <c r="P7" s="137">
        <v>3</v>
      </c>
      <c r="Q7" s="137">
        <v>2</v>
      </c>
      <c r="R7" s="137">
        <v>2</v>
      </c>
      <c r="S7" s="137">
        <v>2</v>
      </c>
    </row>
    <row r="8" spans="1:19" ht="18" customHeight="1">
      <c r="A8" s="19" t="s">
        <v>1267</v>
      </c>
      <c r="B8" s="19" t="s">
        <v>1381</v>
      </c>
      <c r="C8" s="19" t="s">
        <v>1268</v>
      </c>
      <c r="D8" s="19" t="s">
        <v>1269</v>
      </c>
      <c r="E8" s="19" t="s">
        <v>1379</v>
      </c>
      <c r="F8" s="21" t="s">
        <v>393</v>
      </c>
      <c r="G8" s="21" t="s">
        <v>393</v>
      </c>
      <c r="H8" s="230">
        <f>計分版!D341</f>
        <v>1.9500000000000001E-9</v>
      </c>
      <c r="I8" s="22" t="s">
        <v>393</v>
      </c>
      <c r="J8" s="22" t="s">
        <v>393</v>
      </c>
      <c r="K8" s="264">
        <v>50</v>
      </c>
      <c r="L8" s="93"/>
      <c r="M8" s="24">
        <f>入學要求!S326</f>
        <v>0</v>
      </c>
      <c r="N8" s="263" t="s">
        <v>416</v>
      </c>
      <c r="O8" s="263">
        <v>3</v>
      </c>
      <c r="P8" s="263">
        <v>3</v>
      </c>
      <c r="Q8" s="263">
        <v>2</v>
      </c>
      <c r="R8" s="263">
        <v>2</v>
      </c>
      <c r="S8" s="263">
        <v>2</v>
      </c>
    </row>
    <row r="9" spans="1:19" s="139" customFormat="1" ht="18" customHeight="1">
      <c r="A9" s="130" t="s">
        <v>1270</v>
      </c>
      <c r="B9" s="130" t="s">
        <v>1381</v>
      </c>
      <c r="C9" s="130" t="s">
        <v>1271</v>
      </c>
      <c r="D9" s="130" t="s">
        <v>1272</v>
      </c>
      <c r="E9" s="130" t="s">
        <v>1379</v>
      </c>
      <c r="F9" s="279">
        <v>22</v>
      </c>
      <c r="G9" s="279">
        <v>21</v>
      </c>
      <c r="H9" s="236">
        <f>計分版!D342</f>
        <v>2.0500000000000002E-9</v>
      </c>
      <c r="I9" s="131">
        <f>IF(I$1="差距(Median)",H9-F9,IF(I$1="差距(UQ)",H9-#REF!,IF(I$1="差距(LQ)",H9-G9)))</f>
        <v>-21.999999997949999</v>
      </c>
      <c r="J9" s="132">
        <f>IF(I$1="差距(Median)",(H9-F9)/H9,IF(I$1="差距(UQ)",(H9-#REF!)/H9,IF(I$1="差距(LQ)",(H9-G9)/H9)))</f>
        <v>-10731707316.07317</v>
      </c>
      <c r="K9" s="133">
        <v>40</v>
      </c>
      <c r="L9" s="134"/>
      <c r="M9" s="135">
        <f>入學要求!S327</f>
        <v>0</v>
      </c>
      <c r="N9" s="137" t="s">
        <v>416</v>
      </c>
      <c r="O9" s="137">
        <v>3</v>
      </c>
      <c r="P9" s="137">
        <v>3</v>
      </c>
      <c r="Q9" s="137">
        <v>2</v>
      </c>
      <c r="R9" s="137">
        <v>2</v>
      </c>
      <c r="S9" s="137">
        <v>2</v>
      </c>
    </row>
    <row r="10" spans="1:19" ht="18" customHeight="1">
      <c r="A10" s="19" t="s">
        <v>1273</v>
      </c>
      <c r="B10" s="19" t="s">
        <v>1381</v>
      </c>
      <c r="C10" s="19" t="s">
        <v>1274</v>
      </c>
      <c r="D10" s="19" t="s">
        <v>1275</v>
      </c>
      <c r="E10" s="19" t="s">
        <v>1379</v>
      </c>
      <c r="F10" s="21">
        <v>21</v>
      </c>
      <c r="G10" s="21">
        <v>18</v>
      </c>
      <c r="H10" s="230">
        <f>計分版!D343</f>
        <v>2.0999999999999998E-9</v>
      </c>
      <c r="I10" s="91">
        <f>IF(I$1="差距(Median)",H10-F10,IF(I$1="差距(UQ)",H10-#REF!,IF(I$1="差距(LQ)",H10-G10)))</f>
        <v>-20.999999997900002</v>
      </c>
      <c r="J10" s="92">
        <f>IF(I$1="差距(Median)",(H10-F10)/H10,IF(I$1="差距(UQ)",(H10-#REF!)/H10,IF(I$1="差距(LQ)",(H10-G10)/H10)))</f>
        <v>-9999999999.0000019</v>
      </c>
      <c r="K10" s="264">
        <v>55</v>
      </c>
      <c r="L10" s="93">
        <v>18</v>
      </c>
      <c r="M10" s="24">
        <f>入學要求!S328</f>
        <v>0</v>
      </c>
      <c r="N10" s="263" t="s">
        <v>416</v>
      </c>
      <c r="O10" s="263">
        <v>3</v>
      </c>
      <c r="P10" s="263">
        <v>3</v>
      </c>
      <c r="Q10" s="263">
        <v>2</v>
      </c>
      <c r="R10" s="263">
        <v>2</v>
      </c>
      <c r="S10" s="263">
        <v>2</v>
      </c>
    </row>
    <row r="11" spans="1:19" s="139" customFormat="1" ht="18" customHeight="1">
      <c r="A11" s="130" t="s">
        <v>1276</v>
      </c>
      <c r="B11" s="130" t="s">
        <v>1381</v>
      </c>
      <c r="C11" s="130" t="s">
        <v>1277</v>
      </c>
      <c r="D11" s="130" t="s">
        <v>1278</v>
      </c>
      <c r="E11" s="130" t="s">
        <v>1379</v>
      </c>
      <c r="F11" s="279">
        <v>21</v>
      </c>
      <c r="G11" s="279">
        <v>19</v>
      </c>
      <c r="H11" s="236">
        <f>計分版!D344</f>
        <v>2.0999999999999998E-9</v>
      </c>
      <c r="I11" s="131">
        <f>IF(I$1="差距(Median)",H11-F11,IF(I$1="差距(UQ)",H11-#REF!,IF(I$1="差距(LQ)",H11-G11)))</f>
        <v>-20.999999997900002</v>
      </c>
      <c r="J11" s="132">
        <f>IF(I$1="差距(Median)",(H11-F11)/H11,IF(I$1="差距(UQ)",(H11-#REF!)/H11,IF(I$1="差距(LQ)",(H11-G11)/H11)))</f>
        <v>-9999999999.0000019</v>
      </c>
      <c r="K11" s="133">
        <v>70</v>
      </c>
      <c r="L11" s="134"/>
      <c r="M11" s="135">
        <f>入學要求!S329</f>
        <v>0</v>
      </c>
      <c r="N11" s="137" t="s">
        <v>416</v>
      </c>
      <c r="O11" s="137">
        <v>3</v>
      </c>
      <c r="P11" s="137">
        <v>3</v>
      </c>
      <c r="Q11" s="137">
        <v>2</v>
      </c>
      <c r="R11" s="137">
        <v>2</v>
      </c>
      <c r="S11" s="137">
        <v>2</v>
      </c>
    </row>
    <row r="12" spans="1:19" ht="18" customHeight="1">
      <c r="A12" s="19" t="s">
        <v>1279</v>
      </c>
      <c r="B12" s="19" t="s">
        <v>1381</v>
      </c>
      <c r="C12" s="19" t="s">
        <v>1280</v>
      </c>
      <c r="D12" s="19" t="s">
        <v>1281</v>
      </c>
      <c r="E12" s="19" t="s">
        <v>1379</v>
      </c>
      <c r="F12" s="21" t="s">
        <v>393</v>
      </c>
      <c r="G12" s="21" t="s">
        <v>393</v>
      </c>
      <c r="H12" s="230">
        <f>計分版!D345</f>
        <v>1.9500000000000001E-9</v>
      </c>
      <c r="I12" s="22" t="s">
        <v>393</v>
      </c>
      <c r="J12" s="22" t="s">
        <v>393</v>
      </c>
      <c r="K12" s="264">
        <v>25</v>
      </c>
      <c r="L12" s="93"/>
      <c r="M12" s="24">
        <f>入學要求!S330</f>
        <v>0</v>
      </c>
      <c r="N12" s="263" t="s">
        <v>416</v>
      </c>
      <c r="O12" s="263">
        <v>3</v>
      </c>
      <c r="P12" s="263">
        <v>3</v>
      </c>
      <c r="Q12" s="263">
        <v>2</v>
      </c>
      <c r="R12" s="263">
        <v>2</v>
      </c>
      <c r="S12" s="263">
        <v>2</v>
      </c>
    </row>
    <row r="13" spans="1:19" s="139" customFormat="1" ht="18" customHeight="1">
      <c r="A13" s="130" t="s">
        <v>1282</v>
      </c>
      <c r="B13" s="130" t="s">
        <v>1382</v>
      </c>
      <c r="C13" s="130" t="s">
        <v>1283</v>
      </c>
      <c r="D13" s="130" t="s">
        <v>1284</v>
      </c>
      <c r="E13" s="130" t="s">
        <v>1379</v>
      </c>
      <c r="F13" s="279">
        <v>18</v>
      </c>
      <c r="G13" s="279">
        <v>17</v>
      </c>
      <c r="H13" s="236">
        <f>計分版!D346</f>
        <v>1.9500000000000001E-9</v>
      </c>
      <c r="I13" s="131">
        <f>IF(I$1="差距(Median)",H13-F13,IF(I$1="差距(UQ)",H13-#REF!,IF(I$1="差距(LQ)",H13-G13)))</f>
        <v>-17.999999998050001</v>
      </c>
      <c r="J13" s="132">
        <f>IF(I$1="差距(Median)",(H13-F13)/H13,IF(I$1="差距(UQ)",(H13-#REF!)/H13,IF(I$1="差距(LQ)",(H13-G13)/H13)))</f>
        <v>-9230769229.7692299</v>
      </c>
      <c r="K13" s="133">
        <v>76</v>
      </c>
      <c r="L13" s="134"/>
      <c r="M13" s="135">
        <f>入學要求!S331</f>
        <v>0</v>
      </c>
      <c r="N13" s="137" t="s">
        <v>416</v>
      </c>
      <c r="O13" s="137">
        <v>3</v>
      </c>
      <c r="P13" s="137">
        <v>3</v>
      </c>
      <c r="Q13" s="137">
        <v>2</v>
      </c>
      <c r="R13" s="137">
        <v>2</v>
      </c>
      <c r="S13" s="137">
        <v>2</v>
      </c>
    </row>
    <row r="14" spans="1:19" ht="18" customHeight="1">
      <c r="A14" s="19" t="s">
        <v>1285</v>
      </c>
      <c r="B14" s="19" t="s">
        <v>1382</v>
      </c>
      <c r="C14" s="19" t="s">
        <v>1286</v>
      </c>
      <c r="D14" s="19" t="s">
        <v>1287</v>
      </c>
      <c r="E14" s="19" t="s">
        <v>1379</v>
      </c>
      <c r="F14" s="21">
        <v>18</v>
      </c>
      <c r="G14" s="21">
        <v>18</v>
      </c>
      <c r="H14" s="230">
        <f>計分版!D347</f>
        <v>1.9500000000000001E-9</v>
      </c>
      <c r="I14" s="91">
        <f>IF(I$1="差距(Median)",H14-F14,IF(I$1="差距(UQ)",H14-#REF!,IF(I$1="差距(LQ)",H14-G14)))</f>
        <v>-17.999999998050001</v>
      </c>
      <c r="J14" s="92">
        <f>IF(I$1="差距(Median)",(H14-F14)/H14,IF(I$1="差距(UQ)",(H14-#REF!)/H14,IF(I$1="差距(LQ)",(H14-G14)/H14)))</f>
        <v>-9230769229.7692299</v>
      </c>
      <c r="K14" s="264">
        <v>23</v>
      </c>
      <c r="L14" s="93"/>
      <c r="M14" s="24">
        <f>入學要求!S332</f>
        <v>0</v>
      </c>
      <c r="N14" s="263" t="s">
        <v>416</v>
      </c>
      <c r="O14" s="263">
        <v>3</v>
      </c>
      <c r="P14" s="263">
        <v>3</v>
      </c>
      <c r="Q14" s="263">
        <v>2</v>
      </c>
      <c r="R14" s="263">
        <v>2</v>
      </c>
      <c r="S14" s="263">
        <v>2</v>
      </c>
    </row>
    <row r="15" spans="1:19" s="139" customFormat="1" ht="18" customHeight="1">
      <c r="A15" s="130" t="s">
        <v>1288</v>
      </c>
      <c r="B15" s="130" t="s">
        <v>1382</v>
      </c>
      <c r="C15" s="130" t="s">
        <v>1289</v>
      </c>
      <c r="D15" s="130" t="s">
        <v>1290</v>
      </c>
      <c r="E15" s="130" t="s">
        <v>1379</v>
      </c>
      <c r="F15" s="279">
        <v>16</v>
      </c>
      <c r="G15" s="279">
        <v>14</v>
      </c>
      <c r="H15" s="236">
        <f>計分版!D348</f>
        <v>1.9500000000000001E-9</v>
      </c>
      <c r="I15" s="131">
        <f>IF(I$1="差距(Median)",H15-F15,IF(I$1="差距(UQ)",H15-#REF!,IF(I$1="差距(LQ)",H15-G15)))</f>
        <v>-15.999999998050001</v>
      </c>
      <c r="J15" s="132">
        <f>IF(I$1="差距(Median)",(H15-F15)/H15,IF(I$1="差距(UQ)",(H15-#REF!)/H15,IF(I$1="差距(LQ)",(H15-G15)/H15)))</f>
        <v>-8205128204.1282053</v>
      </c>
      <c r="K15" s="133">
        <v>60</v>
      </c>
      <c r="L15" s="134"/>
      <c r="M15" s="135">
        <f>入學要求!S333</f>
        <v>0</v>
      </c>
      <c r="N15" s="137" t="s">
        <v>416</v>
      </c>
      <c r="O15" s="137">
        <v>3</v>
      </c>
      <c r="P15" s="137">
        <v>3</v>
      </c>
      <c r="Q15" s="137">
        <v>2</v>
      </c>
      <c r="R15" s="137">
        <v>2</v>
      </c>
      <c r="S15" s="137">
        <v>2</v>
      </c>
    </row>
    <row r="16" spans="1:19" ht="18" customHeight="1">
      <c r="A16" s="19" t="s">
        <v>1291</v>
      </c>
      <c r="B16" s="19" t="s">
        <v>1382</v>
      </c>
      <c r="C16" s="19" t="s">
        <v>1292</v>
      </c>
      <c r="D16" s="19" t="s">
        <v>1293</v>
      </c>
      <c r="E16" s="19" t="s">
        <v>1379</v>
      </c>
      <c r="F16" s="21">
        <v>17</v>
      </c>
      <c r="G16" s="21">
        <v>17</v>
      </c>
      <c r="H16" s="230">
        <f>計分版!D349</f>
        <v>1.9500000000000001E-9</v>
      </c>
      <c r="I16" s="91">
        <f>IF(I$1="差距(Median)",H16-F16,IF(I$1="差距(UQ)",H16-#REF!,IF(I$1="差距(LQ)",H16-G16)))</f>
        <v>-16.999999998050001</v>
      </c>
      <c r="J16" s="92">
        <f>IF(I$1="差距(Median)",(H16-F16)/H16,IF(I$1="差距(UQ)",(H16-#REF!)/H16,IF(I$1="差距(LQ)",(H16-G16)/H16)))</f>
        <v>-8717948716.9487171</v>
      </c>
      <c r="K16" s="264">
        <v>52</v>
      </c>
      <c r="L16" s="93"/>
      <c r="M16" s="24">
        <f>入學要求!S334</f>
        <v>0</v>
      </c>
      <c r="N16" s="263" t="s">
        <v>416</v>
      </c>
      <c r="O16" s="263">
        <v>3</v>
      </c>
      <c r="P16" s="263">
        <v>3</v>
      </c>
      <c r="Q16" s="263">
        <v>2</v>
      </c>
      <c r="R16" s="263">
        <v>2</v>
      </c>
      <c r="S16" s="263">
        <v>2</v>
      </c>
    </row>
    <row r="17" spans="1:19" s="139" customFormat="1" ht="18" customHeight="1">
      <c r="A17" s="130" t="s">
        <v>1294</v>
      </c>
      <c r="B17" s="130" t="s">
        <v>1382</v>
      </c>
      <c r="C17" s="130" t="s">
        <v>1295</v>
      </c>
      <c r="D17" s="130" t="s">
        <v>1296</v>
      </c>
      <c r="E17" s="130" t="s">
        <v>1379</v>
      </c>
      <c r="F17" s="279">
        <v>15</v>
      </c>
      <c r="G17" s="279">
        <v>15</v>
      </c>
      <c r="H17" s="236">
        <f>計分版!D350</f>
        <v>1.9500000000000001E-9</v>
      </c>
      <c r="I17" s="131">
        <f>IF(I$1="差距(Median)",H17-F17,IF(I$1="差距(UQ)",H17-#REF!,IF(I$1="差距(LQ)",H17-G17)))</f>
        <v>-14.999999998050001</v>
      </c>
      <c r="J17" s="132">
        <f>IF(I$1="差距(Median)",(H17-F17)/H17,IF(I$1="差距(UQ)",(H17-#REF!)/H17,IF(I$1="差距(LQ)",(H17-G17)/H17)))</f>
        <v>-7692307691.3076925</v>
      </c>
      <c r="K17" s="133">
        <v>12</v>
      </c>
      <c r="L17" s="134"/>
      <c r="M17" s="135">
        <f>入學要求!S335</f>
        <v>0</v>
      </c>
      <c r="N17" s="137" t="s">
        <v>416</v>
      </c>
      <c r="O17" s="137">
        <v>3</v>
      </c>
      <c r="P17" s="137">
        <v>3</v>
      </c>
      <c r="Q17" s="137">
        <v>2</v>
      </c>
      <c r="R17" s="137">
        <v>2</v>
      </c>
      <c r="S17" s="137">
        <v>2</v>
      </c>
    </row>
    <row r="18" spans="1:19" ht="18" customHeight="1">
      <c r="A18" s="19" t="s">
        <v>1297</v>
      </c>
      <c r="B18" s="19" t="s">
        <v>1382</v>
      </c>
      <c r="C18" s="19" t="s">
        <v>1298</v>
      </c>
      <c r="D18" s="19" t="s">
        <v>1299</v>
      </c>
      <c r="E18" s="19" t="s">
        <v>1379</v>
      </c>
      <c r="F18" s="21" t="s">
        <v>393</v>
      </c>
      <c r="G18" s="21" t="s">
        <v>393</v>
      </c>
      <c r="H18" s="230">
        <f>計分版!D351</f>
        <v>1.9500000000000001E-9</v>
      </c>
      <c r="I18" s="22" t="s">
        <v>393</v>
      </c>
      <c r="J18" s="22" t="s">
        <v>393</v>
      </c>
      <c r="K18" s="264">
        <v>25</v>
      </c>
      <c r="L18" s="93"/>
      <c r="M18" s="24">
        <f>入學要求!S336</f>
        <v>0</v>
      </c>
      <c r="N18" s="263" t="s">
        <v>416</v>
      </c>
      <c r="O18" s="263">
        <v>3</v>
      </c>
      <c r="P18" s="263">
        <v>3</v>
      </c>
      <c r="Q18" s="263">
        <v>2</v>
      </c>
      <c r="R18" s="263">
        <v>2</v>
      </c>
      <c r="S18" s="263">
        <v>2</v>
      </c>
    </row>
    <row r="19" spans="1:19" s="139" customFormat="1" ht="18" customHeight="1">
      <c r="A19" s="130" t="s">
        <v>1300</v>
      </c>
      <c r="B19" s="130" t="s">
        <v>1382</v>
      </c>
      <c r="C19" s="130" t="s">
        <v>1301</v>
      </c>
      <c r="D19" s="130" t="s">
        <v>1302</v>
      </c>
      <c r="E19" s="130" t="s">
        <v>1379</v>
      </c>
      <c r="F19" s="279" t="s">
        <v>393</v>
      </c>
      <c r="G19" s="279" t="s">
        <v>393</v>
      </c>
      <c r="H19" s="236">
        <f>計分版!D352</f>
        <v>1.9500000000000001E-9</v>
      </c>
      <c r="I19" s="280" t="s">
        <v>393</v>
      </c>
      <c r="J19" s="280" t="s">
        <v>393</v>
      </c>
      <c r="K19" s="133">
        <v>25</v>
      </c>
      <c r="L19" s="134"/>
      <c r="M19" s="135">
        <f>入學要求!S337</f>
        <v>0</v>
      </c>
      <c r="N19" s="137" t="s">
        <v>416</v>
      </c>
      <c r="O19" s="137">
        <v>3</v>
      </c>
      <c r="P19" s="137">
        <v>3</v>
      </c>
      <c r="Q19" s="137">
        <v>2</v>
      </c>
      <c r="R19" s="137">
        <v>2</v>
      </c>
      <c r="S19" s="137">
        <v>2</v>
      </c>
    </row>
    <row r="20" spans="1:19" ht="18" customHeight="1">
      <c r="A20" s="19" t="s">
        <v>1303</v>
      </c>
      <c r="B20" s="19" t="s">
        <v>1382</v>
      </c>
      <c r="C20" s="19" t="s">
        <v>1304</v>
      </c>
      <c r="D20" s="19" t="s">
        <v>1305</v>
      </c>
      <c r="E20" s="19" t="s">
        <v>1379</v>
      </c>
      <c r="F20" s="21" t="s">
        <v>393</v>
      </c>
      <c r="G20" s="21" t="s">
        <v>393</v>
      </c>
      <c r="H20" s="230">
        <f>計分版!D353</f>
        <v>1.9500000000000001E-9</v>
      </c>
      <c r="I20" s="22" t="s">
        <v>393</v>
      </c>
      <c r="J20" s="22" t="s">
        <v>393</v>
      </c>
      <c r="K20" s="264">
        <v>25</v>
      </c>
      <c r="L20" s="93"/>
      <c r="M20" s="24">
        <f>入學要求!S338</f>
        <v>0</v>
      </c>
      <c r="N20" s="263" t="s">
        <v>416</v>
      </c>
      <c r="O20" s="263">
        <v>3</v>
      </c>
      <c r="P20" s="263">
        <v>3</v>
      </c>
      <c r="Q20" s="263">
        <v>2</v>
      </c>
      <c r="R20" s="263">
        <v>2</v>
      </c>
      <c r="S20" s="263">
        <v>2</v>
      </c>
    </row>
    <row r="21" spans="1:19" s="139" customFormat="1" ht="18" customHeight="1">
      <c r="A21" s="130" t="s">
        <v>1306</v>
      </c>
      <c r="B21" s="130" t="s">
        <v>1382</v>
      </c>
      <c r="C21" s="130" t="s">
        <v>1307</v>
      </c>
      <c r="D21" s="130" t="s">
        <v>1308</v>
      </c>
      <c r="E21" s="130" t="s">
        <v>1379</v>
      </c>
      <c r="F21" s="279">
        <v>16</v>
      </c>
      <c r="G21" s="279">
        <v>16</v>
      </c>
      <c r="H21" s="236">
        <f>計分版!D354</f>
        <v>1.9500000000000001E-9</v>
      </c>
      <c r="I21" s="131">
        <f>IF(I$1="差距(Median)",H21-F21,IF(I$1="差距(UQ)",H21-#REF!,IF(I$1="差距(LQ)",H21-G21)))</f>
        <v>-15.999999998050001</v>
      </c>
      <c r="J21" s="132">
        <f>IF(I$1="差距(Median)",(H21-F21)/H21,IF(I$1="差距(UQ)",(H21-#REF!)/H21,IF(I$1="差距(LQ)",(H21-G21)/H21)))</f>
        <v>-8205128204.1282053</v>
      </c>
      <c r="K21" s="133">
        <v>30</v>
      </c>
      <c r="L21" s="134"/>
      <c r="M21" s="135">
        <f>入學要求!S339</f>
        <v>0</v>
      </c>
      <c r="N21" s="137" t="s">
        <v>416</v>
      </c>
      <c r="O21" s="137">
        <v>3</v>
      </c>
      <c r="P21" s="137">
        <v>3</v>
      </c>
      <c r="Q21" s="137">
        <v>2</v>
      </c>
      <c r="R21" s="137">
        <v>2</v>
      </c>
      <c r="S21" s="137">
        <v>2</v>
      </c>
    </row>
    <row r="22" spans="1:19" ht="18" customHeight="1">
      <c r="A22" s="19" t="s">
        <v>1309</v>
      </c>
      <c r="B22" s="19" t="s">
        <v>1382</v>
      </c>
      <c r="C22" s="19" t="s">
        <v>1310</v>
      </c>
      <c r="D22" s="19" t="s">
        <v>1311</v>
      </c>
      <c r="E22" s="19" t="s">
        <v>1379</v>
      </c>
      <c r="F22" s="21">
        <v>15</v>
      </c>
      <c r="G22" s="21">
        <v>14</v>
      </c>
      <c r="H22" s="230">
        <f>計分版!D355</f>
        <v>1.9500000000000001E-9</v>
      </c>
      <c r="I22" s="91">
        <f>IF(I$1="差距(Median)",H22-F22,IF(I$1="差距(UQ)",H22-#REF!,IF(I$1="差距(LQ)",H22-G22)))</f>
        <v>-14.999999998050001</v>
      </c>
      <c r="J22" s="92">
        <f>IF(I$1="差距(Median)",(H22-F22)/H22,IF(I$1="差距(UQ)",(H22-#REF!)/H22,IF(I$1="差距(LQ)",(H22-G22)/H22)))</f>
        <v>-7692307691.3076925</v>
      </c>
      <c r="K22" s="264">
        <v>20</v>
      </c>
      <c r="L22" s="93"/>
      <c r="M22" s="24">
        <f>入學要求!S340</f>
        <v>0</v>
      </c>
      <c r="N22" s="263" t="s">
        <v>416</v>
      </c>
      <c r="O22" s="263">
        <v>3</v>
      </c>
      <c r="P22" s="263">
        <v>3</v>
      </c>
      <c r="Q22" s="263">
        <v>2</v>
      </c>
      <c r="R22" s="263">
        <v>2</v>
      </c>
      <c r="S22" s="263">
        <v>2</v>
      </c>
    </row>
    <row r="23" spans="1:19" s="139" customFormat="1" ht="18" customHeight="1">
      <c r="A23" s="130" t="s">
        <v>1312</v>
      </c>
      <c r="B23" s="130" t="s">
        <v>1382</v>
      </c>
      <c r="C23" s="130" t="s">
        <v>1313</v>
      </c>
      <c r="D23" s="130" t="s">
        <v>1314</v>
      </c>
      <c r="E23" s="130" t="s">
        <v>1379</v>
      </c>
      <c r="F23" s="137">
        <v>17</v>
      </c>
      <c r="G23" s="137">
        <v>16</v>
      </c>
      <c r="H23" s="236">
        <f>計分版!D356</f>
        <v>1.9500000000000001E-9</v>
      </c>
      <c r="I23" s="131">
        <f>IF(I$1="差距(Median)",H23-F23,IF(I$1="差距(UQ)",H23-#REF!,IF(I$1="差距(LQ)",H23-G23)))</f>
        <v>-16.999999998050001</v>
      </c>
      <c r="J23" s="132">
        <f>IF(I$1="差距(Median)",(H23-F23)/H23,IF(I$1="差距(UQ)",(H23-#REF!)/H23,IF(I$1="差距(LQ)",(H23-G23)/H23)))</f>
        <v>-8717948716.9487171</v>
      </c>
      <c r="K23" s="133">
        <v>20</v>
      </c>
      <c r="L23" s="134"/>
      <c r="M23" s="135">
        <f>入學要求!S341</f>
        <v>0</v>
      </c>
      <c r="N23" s="137" t="s">
        <v>416</v>
      </c>
      <c r="O23" s="137">
        <v>3</v>
      </c>
      <c r="P23" s="137">
        <v>3</v>
      </c>
      <c r="Q23" s="137">
        <v>2</v>
      </c>
      <c r="R23" s="137">
        <v>2</v>
      </c>
      <c r="S23" s="137">
        <v>2</v>
      </c>
    </row>
    <row r="24" spans="1:19" ht="18" customHeight="1">
      <c r="A24" s="19" t="s">
        <v>1315</v>
      </c>
      <c r="B24" s="19" t="s">
        <v>1383</v>
      </c>
      <c r="C24" s="19" t="s">
        <v>1316</v>
      </c>
      <c r="D24" s="19" t="s">
        <v>1317</v>
      </c>
      <c r="E24" s="19" t="s">
        <v>82</v>
      </c>
      <c r="F24" s="21">
        <v>20</v>
      </c>
      <c r="G24" s="21">
        <v>20</v>
      </c>
      <c r="H24" s="230">
        <f>計分版!D357</f>
        <v>3.9500000000000006E-9</v>
      </c>
      <c r="I24" s="91">
        <f>IF(I$1="差距(Median)",H24-F24,IF(I$1="差距(UQ)",H24-#REF!,IF(I$1="差距(LQ)",H24-G24)))</f>
        <v>-19.999999996050001</v>
      </c>
      <c r="J24" s="92">
        <f>IF(I$1="差距(Median)",(H24-F24)/H24,IF(I$1="差距(UQ)",(H24-#REF!)/H24,IF(I$1="差距(LQ)",(H24-G24)/H24)))</f>
        <v>-5063291138.2405052</v>
      </c>
      <c r="K24" s="264">
        <v>30</v>
      </c>
      <c r="L24" s="93"/>
      <c r="M24" s="24">
        <f>入學要求!S342</f>
        <v>0</v>
      </c>
      <c r="N24" s="263" t="s">
        <v>417</v>
      </c>
      <c r="O24" s="263">
        <v>3</v>
      </c>
      <c r="P24" s="263">
        <v>3</v>
      </c>
      <c r="Q24" s="263">
        <v>2</v>
      </c>
      <c r="R24" s="263">
        <v>2</v>
      </c>
      <c r="S24" s="263">
        <v>2</v>
      </c>
    </row>
    <row r="25" spans="1:19" s="139" customFormat="1" ht="18" customHeight="1">
      <c r="A25" s="130" t="s">
        <v>1318</v>
      </c>
      <c r="B25" s="130" t="s">
        <v>1383</v>
      </c>
      <c r="C25" s="130" t="s">
        <v>1319</v>
      </c>
      <c r="D25" s="130" t="s">
        <v>1320</v>
      </c>
      <c r="E25" s="130" t="s">
        <v>82</v>
      </c>
      <c r="F25" s="279">
        <v>19</v>
      </c>
      <c r="G25" s="279">
        <v>19</v>
      </c>
      <c r="H25" s="236">
        <f>計分版!D358</f>
        <v>3.9500000000000006E-9</v>
      </c>
      <c r="I25" s="131">
        <f>IF(I$1="差距(Median)",H25-F25,IF(I$1="差距(UQ)",H25-#REF!,IF(I$1="差距(LQ)",H25-G25)))</f>
        <v>-18.999999996050001</v>
      </c>
      <c r="J25" s="132">
        <f>IF(I$1="差距(Median)",(H25-F25)/H25,IF(I$1="差距(UQ)",(H25-#REF!)/H25,IF(I$1="差距(LQ)",(H25-G25)/H25)))</f>
        <v>-4810126581.2784805</v>
      </c>
      <c r="K25" s="133">
        <v>30</v>
      </c>
      <c r="L25" s="134"/>
      <c r="M25" s="135">
        <f>入學要求!S343</f>
        <v>0</v>
      </c>
      <c r="N25" s="137" t="s">
        <v>416</v>
      </c>
      <c r="O25" s="137">
        <v>3</v>
      </c>
      <c r="P25" s="137">
        <v>3</v>
      </c>
      <c r="Q25" s="137">
        <v>2</v>
      </c>
      <c r="R25" s="137">
        <v>2</v>
      </c>
      <c r="S25" s="137">
        <v>2</v>
      </c>
    </row>
    <row r="26" spans="1:19" ht="18" customHeight="1">
      <c r="A26" s="19" t="s">
        <v>1321</v>
      </c>
      <c r="B26" s="19" t="s">
        <v>1383</v>
      </c>
      <c r="C26" s="19" t="s">
        <v>1322</v>
      </c>
      <c r="D26" s="19" t="s">
        <v>1323</v>
      </c>
      <c r="E26" s="19" t="s">
        <v>214</v>
      </c>
      <c r="F26" s="21">
        <v>23</v>
      </c>
      <c r="G26" s="21">
        <v>23</v>
      </c>
      <c r="H26" s="230">
        <f>計分版!D359</f>
        <v>3.9500000000000006E-9</v>
      </c>
      <c r="I26" s="91">
        <f>IF(I$1="差距(Median)",H26-F26,IF(I$1="差距(UQ)",H26-#REF!,IF(I$1="差距(LQ)",H26-G26)))</f>
        <v>-22.999999996050001</v>
      </c>
      <c r="J26" s="92">
        <f>IF(I$1="差距(Median)",(H26-F26)/H26,IF(I$1="差距(UQ)",(H26-#REF!)/H26,IF(I$1="差距(LQ)",(H26-G26)/H26)))</f>
        <v>-5822784809.1265812</v>
      </c>
      <c r="K26" s="264">
        <v>20</v>
      </c>
      <c r="L26" s="93"/>
      <c r="M26" s="24">
        <f>入學要求!S344</f>
        <v>0</v>
      </c>
      <c r="N26" s="263" t="s">
        <v>416</v>
      </c>
      <c r="O26" s="263">
        <v>3</v>
      </c>
      <c r="P26" s="263">
        <v>3</v>
      </c>
      <c r="Q26" s="263">
        <v>2</v>
      </c>
      <c r="R26" s="263">
        <v>2</v>
      </c>
      <c r="S26" s="263">
        <v>2</v>
      </c>
    </row>
    <row r="27" spans="1:19" s="139" customFormat="1" ht="18" customHeight="1">
      <c r="A27" s="130" t="s">
        <v>1324</v>
      </c>
      <c r="B27" s="130" t="s">
        <v>1383</v>
      </c>
      <c r="C27" s="130" t="s">
        <v>1325</v>
      </c>
      <c r="D27" s="130" t="s">
        <v>1326</v>
      </c>
      <c r="E27" s="130" t="s">
        <v>214</v>
      </c>
      <c r="F27" s="279">
        <v>20</v>
      </c>
      <c r="G27" s="279">
        <v>19</v>
      </c>
      <c r="H27" s="236">
        <f>計分版!D360</f>
        <v>3.9500000000000006E-9</v>
      </c>
      <c r="I27" s="131">
        <f>IF(I$1="差距(Median)",H27-F27,IF(I$1="差距(UQ)",H27-#REF!,IF(I$1="差距(LQ)",H27-G27)))</f>
        <v>-19.999999996050001</v>
      </c>
      <c r="J27" s="132">
        <f>IF(I$1="差距(Median)",(H27-F27)/H27,IF(I$1="差距(UQ)",(H27-#REF!)/H27,IF(I$1="差距(LQ)",(H27-G27)/H27)))</f>
        <v>-5063291138.2405052</v>
      </c>
      <c r="K27" s="133">
        <v>35</v>
      </c>
      <c r="L27" s="134"/>
      <c r="M27" s="135">
        <f>入學要求!S345</f>
        <v>0</v>
      </c>
      <c r="N27" s="137" t="s">
        <v>417</v>
      </c>
      <c r="O27" s="137">
        <v>3</v>
      </c>
      <c r="P27" s="137">
        <v>3</v>
      </c>
      <c r="Q27" s="137">
        <v>2</v>
      </c>
      <c r="R27" s="137">
        <v>2</v>
      </c>
      <c r="S27" s="137">
        <v>2</v>
      </c>
    </row>
    <row r="28" spans="1:19" ht="18" customHeight="1">
      <c r="A28" s="19" t="s">
        <v>1327</v>
      </c>
      <c r="B28" s="19" t="s">
        <v>1383</v>
      </c>
      <c r="C28" s="19" t="s">
        <v>1328</v>
      </c>
      <c r="D28" s="19" t="s">
        <v>1329</v>
      </c>
      <c r="E28" s="19" t="s">
        <v>214</v>
      </c>
      <c r="F28" s="21">
        <v>16</v>
      </c>
      <c r="G28" s="21">
        <v>15</v>
      </c>
      <c r="H28" s="230">
        <f>計分版!D361</f>
        <v>3.9500000000000006E-9</v>
      </c>
      <c r="I28" s="91">
        <f>IF(I$1="差距(Median)",H28-F28,IF(I$1="差距(UQ)",H28-#REF!,IF(I$1="差距(LQ)",H28-G28)))</f>
        <v>-15.999999996050001</v>
      </c>
      <c r="J28" s="92">
        <f>IF(I$1="差距(Median)",(H28-F28)/H28,IF(I$1="差距(UQ)",(H28-#REF!)/H28,IF(I$1="差距(LQ)",(H28-G28)/H28)))</f>
        <v>-4050632910.3924046</v>
      </c>
      <c r="K28" s="264">
        <v>40</v>
      </c>
      <c r="L28" s="93"/>
      <c r="M28" s="24">
        <f>入學要求!S346</f>
        <v>0</v>
      </c>
      <c r="N28" s="263" t="s">
        <v>416</v>
      </c>
      <c r="O28" s="263">
        <v>3</v>
      </c>
      <c r="P28" s="263">
        <v>3</v>
      </c>
      <c r="Q28" s="263">
        <v>2</v>
      </c>
      <c r="R28" s="263">
        <v>2</v>
      </c>
      <c r="S28" s="263">
        <v>2</v>
      </c>
    </row>
    <row r="29" spans="1:19" s="139" customFormat="1" ht="18" customHeight="1">
      <c r="A29" s="130" t="s">
        <v>1330</v>
      </c>
      <c r="B29" s="130" t="s">
        <v>1383</v>
      </c>
      <c r="C29" s="130" t="s">
        <v>1331</v>
      </c>
      <c r="D29" s="130" t="s">
        <v>1332</v>
      </c>
      <c r="E29" s="130" t="s">
        <v>214</v>
      </c>
      <c r="F29" s="279">
        <v>16</v>
      </c>
      <c r="G29" s="279">
        <v>15</v>
      </c>
      <c r="H29" s="236">
        <f>計分版!D362</f>
        <v>3.9500000000000006E-9</v>
      </c>
      <c r="I29" s="131">
        <f>IF(I$1="差距(Median)",H29-F29,IF(I$1="差距(UQ)",H29-#REF!,IF(I$1="差距(LQ)",H29-G29)))</f>
        <v>-15.999999996050001</v>
      </c>
      <c r="J29" s="132">
        <f>IF(I$1="差距(Median)",(H29-F29)/H29,IF(I$1="差距(UQ)",(H29-#REF!)/H29,IF(I$1="差距(LQ)",(H29-G29)/H29)))</f>
        <v>-4050632910.3924046</v>
      </c>
      <c r="K29" s="133">
        <v>40</v>
      </c>
      <c r="L29" s="134"/>
      <c r="M29" s="135">
        <f>入學要求!S347</f>
        <v>0</v>
      </c>
      <c r="N29" s="137" t="s">
        <v>417</v>
      </c>
      <c r="O29" s="137">
        <v>3</v>
      </c>
      <c r="P29" s="137">
        <v>3</v>
      </c>
      <c r="Q29" s="137">
        <v>2</v>
      </c>
      <c r="R29" s="137">
        <v>2</v>
      </c>
      <c r="S29" s="137">
        <v>2</v>
      </c>
    </row>
    <row r="30" spans="1:19" ht="18" customHeight="1">
      <c r="A30" s="19" t="s">
        <v>1333</v>
      </c>
      <c r="B30" s="19" t="s">
        <v>1385</v>
      </c>
      <c r="C30" s="19" t="s">
        <v>1334</v>
      </c>
      <c r="D30" s="19" t="s">
        <v>1335</v>
      </c>
      <c r="E30" s="19" t="s">
        <v>1379</v>
      </c>
      <c r="F30" s="21">
        <v>16</v>
      </c>
      <c r="G30" s="21">
        <v>16</v>
      </c>
      <c r="H30" s="230">
        <f>計分版!D363</f>
        <v>1.9500000000000001E-9</v>
      </c>
      <c r="I30" s="91">
        <f>IF(I$1="差距(Median)",H30-F30,IF(I$1="差距(UQ)",H30-#REF!,IF(I$1="差距(LQ)",H30-G30)))</f>
        <v>-15.999999998050001</v>
      </c>
      <c r="J30" s="92">
        <f>IF(I$1="差距(Median)",(H30-F30)/H30,IF(I$1="差距(UQ)",(H30-#REF!)/H30,IF(I$1="差距(LQ)",(H30-G30)/H30)))</f>
        <v>-8205128204.1282053</v>
      </c>
      <c r="K30" s="264">
        <v>35</v>
      </c>
      <c r="L30" s="93"/>
      <c r="M30" s="24">
        <f>入學要求!S348</f>
        <v>0</v>
      </c>
      <c r="N30" s="263" t="s">
        <v>416</v>
      </c>
      <c r="O30" s="263">
        <v>3</v>
      </c>
      <c r="P30" s="263">
        <v>3</v>
      </c>
      <c r="Q30" s="263">
        <v>2</v>
      </c>
      <c r="R30" s="263">
        <v>2</v>
      </c>
      <c r="S30" s="263">
        <v>2</v>
      </c>
    </row>
    <row r="31" spans="1:19" s="139" customFormat="1" ht="18" customHeight="1">
      <c r="A31" s="130" t="s">
        <v>1336</v>
      </c>
      <c r="B31" s="130" t="s">
        <v>1385</v>
      </c>
      <c r="C31" s="130" t="s">
        <v>1337</v>
      </c>
      <c r="D31" s="130" t="s">
        <v>1338</v>
      </c>
      <c r="E31" s="130" t="s">
        <v>1379</v>
      </c>
      <c r="F31" s="279" t="s">
        <v>393</v>
      </c>
      <c r="G31" s="279" t="s">
        <v>393</v>
      </c>
      <c r="H31" s="236">
        <f>計分版!D364</f>
        <v>1.9500000000000001E-9</v>
      </c>
      <c r="I31" s="280" t="s">
        <v>393</v>
      </c>
      <c r="J31" s="280" t="s">
        <v>393</v>
      </c>
      <c r="K31" s="133">
        <v>35</v>
      </c>
      <c r="L31" s="134"/>
      <c r="M31" s="135">
        <f>入學要求!S349</f>
        <v>0</v>
      </c>
      <c r="N31" s="137" t="s">
        <v>416</v>
      </c>
      <c r="O31" s="137">
        <v>3</v>
      </c>
      <c r="P31" s="137">
        <v>3</v>
      </c>
      <c r="Q31" s="137">
        <v>2</v>
      </c>
      <c r="R31" s="137">
        <v>2</v>
      </c>
      <c r="S31" s="137">
        <v>2</v>
      </c>
    </row>
    <row r="32" spans="1:19" ht="18" customHeight="1">
      <c r="A32" s="19" t="s">
        <v>1339</v>
      </c>
      <c r="B32" s="19" t="s">
        <v>1385</v>
      </c>
      <c r="C32" s="19" t="s">
        <v>1340</v>
      </c>
      <c r="D32" s="19" t="s">
        <v>1341</v>
      </c>
      <c r="E32" s="19" t="s">
        <v>1379</v>
      </c>
      <c r="F32" s="21" t="s">
        <v>393</v>
      </c>
      <c r="G32" s="21" t="s">
        <v>393</v>
      </c>
      <c r="H32" s="230">
        <f>計分版!D365</f>
        <v>1.9500000000000001E-9</v>
      </c>
      <c r="I32" s="22" t="s">
        <v>393</v>
      </c>
      <c r="J32" s="22" t="s">
        <v>393</v>
      </c>
      <c r="K32" s="264">
        <v>30</v>
      </c>
      <c r="L32" s="93"/>
      <c r="M32" s="24">
        <f>入學要求!S350</f>
        <v>0</v>
      </c>
      <c r="N32" s="263" t="s">
        <v>416</v>
      </c>
      <c r="O32" s="263">
        <v>3</v>
      </c>
      <c r="P32" s="263">
        <v>3</v>
      </c>
      <c r="Q32" s="263">
        <v>2</v>
      </c>
      <c r="R32" s="263">
        <v>2</v>
      </c>
      <c r="S32" s="263">
        <v>2</v>
      </c>
    </row>
    <row r="33" spans="1:19" s="139" customFormat="1" ht="18" customHeight="1">
      <c r="A33" s="130" t="s">
        <v>1342</v>
      </c>
      <c r="B33" s="130" t="s">
        <v>1385</v>
      </c>
      <c r="C33" s="130" t="s">
        <v>1343</v>
      </c>
      <c r="D33" s="130" t="s">
        <v>1344</v>
      </c>
      <c r="E33" s="130" t="s">
        <v>1379</v>
      </c>
      <c r="F33" s="279" t="s">
        <v>393</v>
      </c>
      <c r="G33" s="279" t="s">
        <v>393</v>
      </c>
      <c r="H33" s="236">
        <f>計分版!D366</f>
        <v>1.9500000000000001E-9</v>
      </c>
      <c r="I33" s="280" t="s">
        <v>393</v>
      </c>
      <c r="J33" s="280" t="s">
        <v>393</v>
      </c>
      <c r="K33" s="133">
        <v>30</v>
      </c>
      <c r="L33" s="134"/>
      <c r="M33" s="135">
        <f>入學要求!S351</f>
        <v>0</v>
      </c>
      <c r="N33" s="137" t="s">
        <v>416</v>
      </c>
      <c r="O33" s="137">
        <v>3</v>
      </c>
      <c r="P33" s="137">
        <v>3</v>
      </c>
      <c r="Q33" s="137">
        <v>2</v>
      </c>
      <c r="R33" s="137">
        <v>2</v>
      </c>
      <c r="S33" s="137">
        <v>2</v>
      </c>
    </row>
    <row r="34" spans="1:19" ht="18" customHeight="1">
      <c r="A34" s="19" t="s">
        <v>1345</v>
      </c>
      <c r="B34" s="19" t="s">
        <v>1385</v>
      </c>
      <c r="C34" s="19" t="s">
        <v>1346</v>
      </c>
      <c r="D34" s="19" t="s">
        <v>1347</v>
      </c>
      <c r="E34" s="19" t="s">
        <v>1379</v>
      </c>
      <c r="F34" s="21" t="s">
        <v>393</v>
      </c>
      <c r="G34" s="21" t="s">
        <v>393</v>
      </c>
      <c r="H34" s="230">
        <f>計分版!D367</f>
        <v>1.9500000000000001E-9</v>
      </c>
      <c r="I34" s="22" t="s">
        <v>393</v>
      </c>
      <c r="J34" s="22" t="s">
        <v>393</v>
      </c>
      <c r="K34" s="264">
        <v>25</v>
      </c>
      <c r="L34" s="93"/>
      <c r="M34" s="24">
        <f>入學要求!S352</f>
        <v>0</v>
      </c>
      <c r="N34" s="263" t="s">
        <v>416</v>
      </c>
      <c r="O34" s="263">
        <v>3</v>
      </c>
      <c r="P34" s="263">
        <v>3</v>
      </c>
      <c r="Q34" s="263">
        <v>2</v>
      </c>
      <c r="R34" s="263">
        <v>2</v>
      </c>
      <c r="S34" s="263">
        <v>2</v>
      </c>
    </row>
    <row r="35" spans="1:19" s="139" customFormat="1" ht="18" customHeight="1">
      <c r="A35" s="130" t="s">
        <v>1348</v>
      </c>
      <c r="B35" s="130" t="s">
        <v>1384</v>
      </c>
      <c r="C35" s="130" t="s">
        <v>1349</v>
      </c>
      <c r="D35" s="130" t="s">
        <v>1350</v>
      </c>
      <c r="E35" s="130" t="s">
        <v>1379</v>
      </c>
      <c r="F35" s="279" t="s">
        <v>393</v>
      </c>
      <c r="G35" s="279" t="s">
        <v>393</v>
      </c>
      <c r="H35" s="236">
        <f>計分版!D368</f>
        <v>2.2500000000000003E-9</v>
      </c>
      <c r="I35" s="280" t="s">
        <v>393</v>
      </c>
      <c r="J35" s="280" t="s">
        <v>393</v>
      </c>
      <c r="K35" s="133">
        <v>40</v>
      </c>
      <c r="L35" s="134"/>
      <c r="M35" s="135">
        <f>入學要求!S353</f>
        <v>0</v>
      </c>
      <c r="N35" s="137" t="s">
        <v>417</v>
      </c>
      <c r="O35" s="137">
        <v>3</v>
      </c>
      <c r="P35" s="137">
        <v>3</v>
      </c>
      <c r="Q35" s="137">
        <v>2</v>
      </c>
      <c r="R35" s="137">
        <v>2</v>
      </c>
      <c r="S35" s="137">
        <v>2</v>
      </c>
    </row>
    <row r="36" spans="1:19" ht="16.5">
      <c r="A36" s="66"/>
      <c r="B36" s="66"/>
      <c r="C36" s="66"/>
      <c r="D36" s="66"/>
      <c r="E36" s="68"/>
      <c r="F36" s="67"/>
      <c r="G36" s="67"/>
      <c r="H36" s="67"/>
      <c r="I36" s="69"/>
      <c r="J36" s="70"/>
      <c r="K36" s="67"/>
      <c r="L36" s="71"/>
      <c r="M36" s="66"/>
      <c r="N36" s="67"/>
      <c r="O36" s="67"/>
      <c r="P36" s="67"/>
      <c r="Q36" s="67"/>
      <c r="R36" s="67"/>
      <c r="S36" s="67"/>
    </row>
    <row r="37" spans="1:19" s="66" customFormat="1" ht="16.5">
      <c r="A37" s="72" t="s">
        <v>1388</v>
      </c>
      <c r="B37" s="72"/>
      <c r="C37" s="72"/>
      <c r="D37" s="72"/>
      <c r="E37" s="68"/>
      <c r="F37" s="73"/>
      <c r="G37" s="73"/>
      <c r="H37" s="73"/>
      <c r="I37" s="74"/>
      <c r="J37" s="75"/>
      <c r="K37" s="73"/>
      <c r="L37" s="76"/>
      <c r="M37" s="72"/>
      <c r="N37" s="73"/>
      <c r="O37" s="73"/>
      <c r="P37" s="73"/>
      <c r="Q37" s="73"/>
      <c r="R37" s="73"/>
      <c r="S37" s="73"/>
    </row>
    <row r="38" spans="1:19" s="66" customFormat="1" ht="16.5">
      <c r="A38" s="72" t="s">
        <v>1184</v>
      </c>
      <c r="B38" s="72"/>
      <c r="C38" s="72"/>
      <c r="D38" s="72"/>
      <c r="E38" s="68"/>
      <c r="F38" s="73"/>
      <c r="G38" s="73"/>
      <c r="H38" s="73"/>
      <c r="I38" s="74"/>
      <c r="J38" s="75"/>
      <c r="K38" s="73"/>
      <c r="L38" s="76"/>
      <c r="M38" s="72"/>
      <c r="N38" s="73"/>
      <c r="O38" s="73"/>
      <c r="P38" s="73"/>
      <c r="Q38" s="73"/>
      <c r="R38" s="73"/>
      <c r="S38" s="73"/>
    </row>
    <row r="39" spans="1:19" ht="16.5" customHeight="1"/>
    <row r="40" spans="1:19" s="66" customFormat="1" ht="16.5">
      <c r="A40" s="72" t="s">
        <v>1352</v>
      </c>
      <c r="B40" s="72"/>
      <c r="C40" s="72"/>
      <c r="D40" s="72"/>
      <c r="E40" s="68"/>
      <c r="F40" s="73"/>
      <c r="G40" s="73"/>
      <c r="H40" s="73"/>
      <c r="I40" s="74"/>
      <c r="J40" s="75"/>
      <c r="K40" s="73"/>
      <c r="L40" s="76"/>
      <c r="M40" s="72"/>
      <c r="N40" s="73"/>
      <c r="O40" s="73"/>
      <c r="P40" s="73"/>
      <c r="Q40" s="73"/>
      <c r="R40" s="73"/>
      <c r="S40" s="73"/>
    </row>
    <row r="41" spans="1:19" s="66" customFormat="1" ht="16.5">
      <c r="A41" s="271" t="s">
        <v>1351</v>
      </c>
      <c r="B41" s="72"/>
      <c r="C41" s="72"/>
      <c r="D41" s="72"/>
      <c r="E41" s="68"/>
      <c r="F41" s="73"/>
      <c r="G41" s="73"/>
      <c r="H41" s="73"/>
      <c r="I41" s="74"/>
      <c r="J41" s="75"/>
      <c r="K41" s="73"/>
      <c r="L41" s="76"/>
      <c r="M41" s="72"/>
      <c r="N41" s="73"/>
      <c r="O41" s="73"/>
      <c r="P41" s="73"/>
      <c r="Q41" s="73"/>
      <c r="R41" s="73"/>
      <c r="S41" s="73"/>
    </row>
    <row r="42" spans="1:19" s="66" customFormat="1" ht="16.5">
      <c r="A42" s="270" t="s">
        <v>1389</v>
      </c>
      <c r="B42" s="72"/>
      <c r="C42" s="72"/>
      <c r="D42" s="72"/>
      <c r="E42" s="68"/>
      <c r="F42" s="73"/>
      <c r="G42" s="73"/>
      <c r="H42" s="73"/>
      <c r="I42" s="74"/>
      <c r="J42" s="75"/>
      <c r="K42" s="73"/>
      <c r="L42" s="76"/>
      <c r="M42" s="72"/>
      <c r="N42" s="73"/>
      <c r="O42" s="73"/>
      <c r="P42" s="73"/>
      <c r="Q42" s="73"/>
      <c r="R42" s="73"/>
      <c r="S42" s="73"/>
    </row>
    <row r="43" spans="1:19" ht="16.5">
      <c r="A43" s="72"/>
      <c r="B43" s="72"/>
      <c r="C43" s="72"/>
      <c r="D43" s="72"/>
      <c r="E43" s="68"/>
      <c r="F43" s="67"/>
      <c r="G43" s="67"/>
      <c r="H43" s="67"/>
      <c r="I43" s="69"/>
      <c r="J43" s="70"/>
      <c r="K43" s="67"/>
      <c r="L43" s="71"/>
      <c r="M43" s="66"/>
      <c r="N43" s="67"/>
      <c r="O43" s="67"/>
      <c r="P43" s="67"/>
      <c r="Q43" s="67"/>
      <c r="R43" s="67"/>
      <c r="S43" s="67"/>
    </row>
    <row r="44" spans="1:19" ht="16.5">
      <c r="A44" s="66"/>
      <c r="B44" s="66"/>
      <c r="C44" s="66"/>
      <c r="D44" s="66"/>
      <c r="E44" s="68"/>
      <c r="F44" s="67"/>
      <c r="G44" s="67"/>
      <c r="H44" s="67"/>
      <c r="I44" s="69"/>
      <c r="J44" s="70"/>
      <c r="K44" s="67"/>
      <c r="L44" s="71"/>
      <c r="M44" s="66"/>
      <c r="N44" s="67"/>
      <c r="O44" s="67"/>
      <c r="P44" s="67"/>
      <c r="Q44" s="67"/>
      <c r="R44" s="67"/>
      <c r="S44" s="67"/>
    </row>
    <row r="45" spans="1:19" ht="16.5">
      <c r="A45" s="66"/>
      <c r="B45" s="66"/>
      <c r="C45" s="66"/>
      <c r="D45" s="66"/>
      <c r="E45" s="68"/>
      <c r="F45" s="67"/>
      <c r="G45" s="67"/>
      <c r="H45" s="67"/>
      <c r="I45" s="69"/>
      <c r="J45" s="70"/>
      <c r="K45" s="67"/>
      <c r="L45" s="71"/>
      <c r="M45" s="66"/>
      <c r="N45" s="67"/>
      <c r="O45" s="67"/>
      <c r="P45" s="67"/>
      <c r="Q45" s="67"/>
      <c r="R45" s="67"/>
      <c r="S45" s="67"/>
    </row>
    <row r="46" spans="1:19" ht="16.5"/>
    <row r="47" spans="1:19" ht="16.5" hidden="1" customHeight="1"/>
    <row r="48" spans="1:19" ht="16.5" hidden="1" customHeight="1"/>
    <row r="49" ht="16.5"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16.5" hidden="1" customHeight="1"/>
    <row r="70" ht="16.5" hidden="1" customHeight="1"/>
    <row r="71" ht="16.5" hidden="1" customHeight="1"/>
    <row r="72" ht="16.5" hidden="1" customHeight="1"/>
    <row r="73" ht="16.5" hidden="1" customHeight="1"/>
    <row r="74" ht="16.5" hidden="1" customHeight="1"/>
    <row r="75" ht="16.5" hidden="1" customHeight="1"/>
    <row r="76" ht="16.5" hidden="1" customHeight="1"/>
    <row r="77" ht="16.5" hidden="1" customHeight="1"/>
    <row r="78" ht="16.5" hidden="1" customHeight="1"/>
    <row r="79" ht="16.5" hidden="1" customHeight="1"/>
    <row r="80" ht="16.5" hidden="1" customHeight="1"/>
    <row r="81" ht="16.5" hidden="1" customHeight="1"/>
    <row r="82" ht="16.5" hidden="1" customHeight="1"/>
    <row r="83" ht="16.5" hidden="1" customHeight="1"/>
    <row r="84" ht="16.5" hidden="1" customHeight="1"/>
    <row r="85" ht="16.5" hidden="1" customHeight="1"/>
    <row r="86" ht="16.5" hidden="1" customHeight="1"/>
    <row r="87" ht="16.5" hidden="1" customHeight="1"/>
    <row r="88" ht="16.5" hidden="1" customHeight="1"/>
    <row r="89" ht="16.5" hidden="1" customHeight="1"/>
    <row r="90" ht="16.5" hidden="1" customHeight="1"/>
    <row r="91" ht="16.5" hidden="1" customHeight="1"/>
    <row r="92" ht="16.5" hidden="1" customHeight="1"/>
    <row r="93" ht="16.5" hidden="1" customHeight="1"/>
    <row r="94" ht="16.5" hidden="1" customHeight="1"/>
    <row r="95" ht="16.5" hidden="1" customHeight="1"/>
    <row r="96" ht="16.5" hidden="1" customHeight="1"/>
    <row r="97" ht="16.5" hidden="1" customHeight="1"/>
    <row r="98" ht="16.5" hidden="1" customHeight="1"/>
    <row r="99" ht="16.5" hidden="1" customHeight="1"/>
    <row r="100" ht="16.5" hidden="1" customHeight="1"/>
    <row r="101" ht="16.5" hidden="1" customHeight="1"/>
    <row r="102" ht="16.5" hidden="1" customHeight="1"/>
    <row r="103" ht="16.5" hidden="1" customHeight="1"/>
    <row r="104" ht="16.5" hidden="1" customHeight="1"/>
    <row r="105" ht="16.5" hidden="1" customHeight="1"/>
    <row r="106" ht="16.5" hidden="1"/>
    <row r="107" ht="16.5" hidden="1"/>
    <row r="108" ht="16.5" hidden="1" customHeight="1"/>
    <row r="109" ht="16.5" hidden="1" customHeight="1"/>
    <row r="110" ht="16.5" hidden="1" customHeight="1"/>
    <row r="111" ht="16.5" hidden="1" customHeight="1"/>
    <row r="112" ht="16.5" hidden="1" customHeight="1"/>
    <row r="113" ht="16.5" hidden="1" customHeight="1"/>
    <row r="114" ht="16.5" hidden="1" customHeight="1"/>
    <row r="115" ht="16.5" hidden="1" customHeight="1"/>
    <row r="116" ht="16.5" hidden="1" customHeight="1"/>
    <row r="117" ht="16.5" hidden="1" customHeight="1"/>
    <row r="118" ht="16.5" hidden="1" customHeight="1"/>
    <row r="119" ht="16.5" hidden="1" customHeight="1"/>
    <row r="120" ht="16.5" hidden="1" customHeight="1"/>
    <row r="121" ht="16.5" hidden="1" customHeight="1"/>
  </sheetData>
  <mergeCells count="1">
    <mergeCell ref="I1:J1"/>
  </mergeCells>
  <phoneticPr fontId="2" type="noConversion"/>
  <conditionalFormatting sqref="I2:J23 I25:J35">
    <cfRule type="cellIs" dxfId="47" priority="71" operator="equal">
      <formula>"/"</formula>
    </cfRule>
    <cfRule type="cellIs" dxfId="46" priority="72" operator="lessThan">
      <formula>0</formula>
    </cfRule>
    <cfRule type="cellIs" dxfId="45" priority="73" operator="greaterThan">
      <formula>0</formula>
    </cfRule>
  </conditionalFormatting>
  <conditionalFormatting sqref="F2:F23 F25:F35">
    <cfRule type="expression" dxfId="44" priority="69">
      <formula>$I$1="差距(Median)"</formula>
    </cfRule>
  </conditionalFormatting>
  <conditionalFormatting sqref="G2:G23 G25:G35">
    <cfRule type="expression" dxfId="43" priority="68">
      <formula>$I$1="差距(LQ)"</formula>
    </cfRule>
  </conditionalFormatting>
  <conditionalFormatting sqref="M2:M35">
    <cfRule type="cellIs" dxfId="42" priority="64" operator="equal">
      <formula>2</formula>
    </cfRule>
    <cfRule type="cellIs" dxfId="41" priority="65" operator="equal">
      <formula>1</formula>
    </cfRule>
    <cfRule type="cellIs" dxfId="40" priority="66" operator="equal">
      <formula>0</formula>
    </cfRule>
  </conditionalFormatting>
  <conditionalFormatting sqref="K2:K23 K25:K35">
    <cfRule type="cellIs" dxfId="39" priority="63" operator="lessThan">
      <formula>30</formula>
    </cfRule>
  </conditionalFormatting>
  <conditionalFormatting sqref="K24">
    <cfRule type="cellIs" dxfId="38" priority="12" operator="lessThan">
      <formula>30</formula>
    </cfRule>
  </conditionalFormatting>
  <conditionalFormatting sqref="F24">
    <cfRule type="expression" dxfId="37" priority="20">
      <formula>$I$1="差距(Median)"</formula>
    </cfRule>
  </conditionalFormatting>
  <conditionalFormatting sqref="G24">
    <cfRule type="expression" dxfId="36" priority="19">
      <formula>$I$1="差距(LQ)"</formula>
    </cfRule>
  </conditionalFormatting>
  <conditionalFormatting sqref="I24:J24">
    <cfRule type="cellIs" dxfId="35" priority="16" operator="equal">
      <formula>"/"</formula>
    </cfRule>
    <cfRule type="cellIs" dxfId="34" priority="17" operator="lessThan">
      <formula>0</formula>
    </cfRule>
    <cfRule type="cellIs" dxfId="33" priority="18" operator="greaterThan">
      <formula>0</formula>
    </cfRule>
  </conditionalFormatting>
  <hyperlinks>
    <hyperlink ref="A41" r:id="rId1" xr:uid="{C68434DC-C75C-4B12-B567-7D6F2B523AEF}"/>
    <hyperlink ref="A42" r:id="rId2" xr:uid="{9122EDE1-461E-4AEC-810A-6750881465AC}"/>
  </hyperlinks>
  <pageMargins left="0.7" right="0.7" top="0.75" bottom="0.75" header="0.3" footer="0.3"/>
  <legacyDrawing r:id="rId3"/>
  <extLst>
    <ext xmlns:x14="http://schemas.microsoft.com/office/spreadsheetml/2009/9/main" uri="{78C0D931-6437-407d-A8EE-F0AAD7539E65}">
      <x14:conditionalFormattings>
        <x14:conditionalFormatting xmlns:xm="http://schemas.microsoft.com/office/excel/2006/main">
          <x14:cfRule type="cellIs" priority="8" operator="greaterThan" id="{29E0C8C5-CAB4-4232-903D-04E24A45A233}">
            <xm:f>計分版!$C$13</xm:f>
            <x14:dxf>
              <font>
                <color rgb="FF9C0006"/>
              </font>
              <fill>
                <patternFill>
                  <bgColor rgb="FFFFC7CE"/>
                </patternFill>
              </fill>
            </x14:dxf>
          </x14:cfRule>
          <x14:cfRule type="cellIs" priority="9" operator="lessThan" id="{4E7337EF-5B3F-4BFA-BCC0-76A7F68B6345}">
            <xm:f>計分版!$C$13</xm:f>
            <x14:dxf>
              <font>
                <color rgb="FF006100"/>
              </font>
              <fill>
                <patternFill>
                  <bgColor rgb="FFC6EFCE"/>
                </patternFill>
              </fill>
            </x14:dxf>
          </x14:cfRule>
          <xm:sqref>O2:O35</xm:sqref>
        </x14:conditionalFormatting>
        <x14:conditionalFormatting xmlns:xm="http://schemas.microsoft.com/office/excel/2006/main">
          <x14:cfRule type="cellIs" priority="6" operator="greaterThan" id="{E69DAD1D-ADDE-4F5E-9CE2-7B954F859F5E}">
            <xm:f>計分版!$D$13</xm:f>
            <x14:dxf>
              <font>
                <color rgb="FF9C0006"/>
              </font>
              <fill>
                <patternFill>
                  <bgColor rgb="FFFFC7CE"/>
                </patternFill>
              </fill>
            </x14:dxf>
          </x14:cfRule>
          <x14:cfRule type="cellIs" priority="7" operator="lessThan" id="{CD93CEC9-131A-479B-878C-28F973CBBC5F}">
            <xm:f>計分版!$D$13</xm:f>
            <x14:dxf>
              <font>
                <color rgb="FF006100"/>
              </font>
              <fill>
                <patternFill>
                  <bgColor rgb="FFC6EFCE"/>
                </patternFill>
              </fill>
            </x14:dxf>
          </x14:cfRule>
          <xm:sqref>P2:P35</xm:sqref>
        </x14:conditionalFormatting>
        <x14:conditionalFormatting xmlns:xm="http://schemas.microsoft.com/office/excel/2006/main">
          <x14:cfRule type="cellIs" priority="4" operator="lessThan" id="{8D08AD6C-AE8E-40D3-BEB3-2968D8B23188}">
            <xm:f>計分版!$E$13</xm:f>
            <x14:dxf>
              <font>
                <color rgb="FF006100"/>
              </font>
              <fill>
                <patternFill>
                  <bgColor rgb="FFC6EFCE"/>
                </patternFill>
              </fill>
            </x14:dxf>
          </x14:cfRule>
          <x14:cfRule type="cellIs" priority="5" operator="greaterThan" id="{0B506863-9FCB-43A8-96C1-943E9D9EDB30}">
            <xm:f>計分版!$E$13</xm:f>
            <x14:dxf>
              <font>
                <color rgb="FF9C0006"/>
              </font>
              <fill>
                <patternFill>
                  <bgColor rgb="FFFFC7CE"/>
                </patternFill>
              </fill>
            </x14:dxf>
          </x14:cfRule>
          <xm:sqref>Q2:Q35</xm:sqref>
        </x14:conditionalFormatting>
        <x14:conditionalFormatting xmlns:xm="http://schemas.microsoft.com/office/excel/2006/main">
          <x14:cfRule type="cellIs" priority="2" operator="lessThan" id="{B885EAE4-7ABE-4354-953E-31F6EB9946F0}">
            <xm:f>計分版!$F$13</xm:f>
            <x14:dxf>
              <font>
                <color rgb="FF006100"/>
              </font>
              <fill>
                <patternFill>
                  <bgColor rgb="FFC6EFCE"/>
                </patternFill>
              </fill>
            </x14:dxf>
          </x14:cfRule>
          <x14:cfRule type="cellIs" priority="3" operator="greaterThan" id="{ECBBE4CC-C1BC-4605-871B-2BF703CE613F}">
            <xm:f>計分版!$F$13</xm:f>
            <x14:dxf>
              <font>
                <color rgb="FF9C0006"/>
              </font>
              <fill>
                <patternFill>
                  <bgColor rgb="FFFFC7CE"/>
                </patternFill>
              </fill>
            </x14:dxf>
          </x14:cfRule>
          <xm:sqref>R2:R35</xm:sqref>
        </x14:conditionalFormatting>
        <x14:conditionalFormatting xmlns:xm="http://schemas.microsoft.com/office/excel/2006/main">
          <x14:cfRule type="cellIs" priority="1" operator="greaterThan" id="{A15B388C-5B39-4E68-88FB-0019DEA202C6}">
            <xm:f>LARGE(計分版!$G$13:$L$13,1)</xm:f>
            <x14:dxf>
              <font>
                <color rgb="FF9C0006"/>
              </font>
              <fill>
                <patternFill>
                  <bgColor rgb="FFFFC7CE"/>
                </patternFill>
              </fill>
            </x14:dxf>
          </x14:cfRule>
          <x14:cfRule type="cellIs" priority="11" operator="lessThan" id="{9F889EF9-6BA0-4A8F-96FC-A0EBE422E53F}">
            <xm:f>LARGE(計分版!$G$13:$L$13,1)</xm:f>
            <x14:dxf>
              <font>
                <color rgb="FF006100"/>
              </font>
              <fill>
                <patternFill>
                  <bgColor rgb="FFC6EFCE"/>
                </patternFill>
              </fill>
            </x14:dxf>
          </x14:cfRule>
          <xm:sqref>S2:S35</xm:sqref>
        </x14:conditionalFormatting>
        <x14:conditionalFormatting xmlns:xm="http://schemas.microsoft.com/office/excel/2006/main">
          <x14:cfRule type="expression" priority="10" id="{FBEA4EEF-BE17-4961-A87F-C55BE2691F2D}">
            <xm:f>計分版!$R$216=0</xm:f>
            <x14:dxf>
              <font>
                <color rgb="FF9C5700"/>
              </font>
              <fill>
                <patternFill>
                  <bgColor rgb="FFFFEB9C"/>
                </patternFill>
              </fill>
            </x14:dxf>
          </x14:cfRule>
          <xm:sqref>S35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EEFF471-A3DF-4796-B14D-C2EF504B759D}">
          <x14:formula1>
            <xm:f>選單!$I$2:$I$3</xm:f>
          </x14:formula1>
          <xm:sqref>I1:J1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8BA67-BD19-46B8-90D7-F3B3DE6EB981}">
  <dimension ref="A1:AA121"/>
  <sheetViews>
    <sheetView zoomScaleNormal="100" workbookViewId="0">
      <pane ySplit="1" topLeftCell="A29" activePane="bottomLeft" state="frozen"/>
      <selection pane="bottomLeft" activeCell="A40" sqref="A40"/>
    </sheetView>
  </sheetViews>
  <sheetFormatPr defaultColWidth="0" defaultRowHeight="0" customHeight="1" zeroHeight="1"/>
  <cols>
    <col min="1" max="1" width="7" style="20" customWidth="1"/>
    <col min="2" max="2" width="8.625" style="20" customWidth="1"/>
    <col min="3" max="3" width="22.5" style="20" customWidth="1"/>
    <col min="4" max="4" width="4.25" style="20" hidden="1" customWidth="1"/>
    <col min="5" max="6" width="7.25" style="18" customWidth="1"/>
    <col min="7" max="7" width="6.875" style="46" customWidth="1"/>
    <col min="8" max="8" width="4.625" style="46" customWidth="1"/>
    <col min="9" max="9" width="6.875" style="46" customWidth="1"/>
    <col min="10" max="10" width="7.625" style="54" customWidth="1"/>
    <col min="11" max="11" width="8.375" style="55" customWidth="1"/>
    <col min="12" max="12" width="5" style="46" customWidth="1"/>
    <col min="13" max="13" width="4.5" style="53" hidden="1" customWidth="1"/>
    <col min="14" max="14" width="4" style="20" customWidth="1"/>
    <col min="15" max="15" width="8.75" style="46" customWidth="1"/>
    <col min="16" max="20" width="2.75" style="46" customWidth="1"/>
    <col min="21" max="21" width="9" style="20" customWidth="1"/>
    <col min="22" max="22" width="20.75" style="20" customWidth="1"/>
    <col min="23" max="23" width="0" style="20" hidden="1" customWidth="1"/>
    <col min="24" max="27" width="9" style="20" customWidth="1"/>
    <col min="28" max="16384" width="9" style="20" hidden="1"/>
  </cols>
  <sheetData>
    <row r="1" spans="1:20" s="281" customFormat="1" ht="18" customHeight="1">
      <c r="A1" s="281" t="s">
        <v>228</v>
      </c>
      <c r="B1" s="281" t="s">
        <v>325</v>
      </c>
      <c r="C1" s="281" t="s">
        <v>400</v>
      </c>
      <c r="E1" s="281" t="s">
        <v>229</v>
      </c>
      <c r="F1" s="281" t="s">
        <v>403</v>
      </c>
      <c r="G1" s="282" t="s">
        <v>327</v>
      </c>
      <c r="H1" s="282" t="s">
        <v>328</v>
      </c>
      <c r="I1" s="282" t="s">
        <v>230</v>
      </c>
      <c r="J1" s="322" t="s">
        <v>1508</v>
      </c>
      <c r="K1" s="322"/>
      <c r="L1" s="282" t="s">
        <v>394</v>
      </c>
      <c r="M1" s="283" t="s">
        <v>436</v>
      </c>
      <c r="N1" s="281" t="s">
        <v>414</v>
      </c>
      <c r="O1" s="282" t="s">
        <v>415</v>
      </c>
      <c r="P1" s="282" t="s">
        <v>405</v>
      </c>
      <c r="Q1" s="282" t="s">
        <v>406</v>
      </c>
      <c r="R1" s="282" t="s">
        <v>407</v>
      </c>
      <c r="S1" s="282" t="s">
        <v>408</v>
      </c>
      <c r="T1" s="282" t="s">
        <v>409</v>
      </c>
    </row>
    <row r="2" spans="1:20" ht="18" customHeight="1">
      <c r="A2" s="19" t="s">
        <v>1391</v>
      </c>
      <c r="B2" s="19" t="s">
        <v>1490</v>
      </c>
      <c r="C2" s="19" t="s">
        <v>1491</v>
      </c>
      <c r="D2" s="19" t="s">
        <v>1392</v>
      </c>
      <c r="E2" s="19" t="s">
        <v>1380</v>
      </c>
      <c r="F2" s="21"/>
      <c r="G2" s="219">
        <v>16.55</v>
      </c>
      <c r="H2" s="21"/>
      <c r="I2" s="230">
        <f>計分版!D371</f>
        <v>1.9000000000000001E-9</v>
      </c>
      <c r="J2" s="91">
        <f>I2-G2</f>
        <v>-16.549999998100002</v>
      </c>
      <c r="K2" s="92">
        <f>(I2-G2)/I2</f>
        <v>-8710526314.7894745</v>
      </c>
      <c r="L2" s="275">
        <v>360</v>
      </c>
      <c r="M2" s="93"/>
      <c r="N2" s="24">
        <f>入學要求!S356</f>
        <v>0</v>
      </c>
      <c r="O2" s="274"/>
      <c r="P2" s="274">
        <v>3</v>
      </c>
      <c r="Q2" s="274">
        <v>3</v>
      </c>
      <c r="R2" s="274">
        <v>2</v>
      </c>
      <c r="S2" s="274">
        <v>2</v>
      </c>
      <c r="T2" s="274">
        <v>2</v>
      </c>
    </row>
    <row r="3" spans="1:20" s="294" customFormat="1" ht="18" customHeight="1">
      <c r="A3" s="285" t="s">
        <v>1393</v>
      </c>
      <c r="B3" s="285" t="s">
        <v>1490</v>
      </c>
      <c r="C3" s="285" t="s">
        <v>1492</v>
      </c>
      <c r="D3" s="285" t="s">
        <v>1394</v>
      </c>
      <c r="E3" s="285" t="s">
        <v>1380</v>
      </c>
      <c r="F3" s="286"/>
      <c r="G3" s="287">
        <v>15</v>
      </c>
      <c r="H3" s="286"/>
      <c r="I3" s="288">
        <f>計分版!D372</f>
        <v>1.9000000000000001E-9</v>
      </c>
      <c r="J3" s="289">
        <f>I3-G3</f>
        <v>-14.9999999981</v>
      </c>
      <c r="K3" s="290">
        <f>(I3-G3)/I3</f>
        <v>-7894736841.1052628</v>
      </c>
      <c r="L3" s="291">
        <v>30</v>
      </c>
      <c r="M3" s="292"/>
      <c r="N3" s="24">
        <f>入學要求!S357</f>
        <v>0</v>
      </c>
      <c r="O3" s="293"/>
      <c r="P3" s="293">
        <v>3</v>
      </c>
      <c r="Q3" s="293">
        <v>3</v>
      </c>
      <c r="R3" s="293">
        <v>2</v>
      </c>
      <c r="S3" s="293">
        <v>2</v>
      </c>
      <c r="T3" s="293">
        <v>2</v>
      </c>
    </row>
    <row r="4" spans="1:20" ht="18" customHeight="1">
      <c r="A4" s="19" t="s">
        <v>1395</v>
      </c>
      <c r="B4" s="19" t="s">
        <v>1396</v>
      </c>
      <c r="C4" s="19" t="s">
        <v>1493</v>
      </c>
      <c r="D4" s="19" t="s">
        <v>1397</v>
      </c>
      <c r="E4" s="19" t="s">
        <v>1379</v>
      </c>
      <c r="F4" s="21">
        <v>19</v>
      </c>
      <c r="G4" s="21"/>
      <c r="H4" s="21">
        <v>15</v>
      </c>
      <c r="I4" s="230">
        <f>計分版!D373</f>
        <v>1.9500000000000001E-9</v>
      </c>
      <c r="J4" s="91">
        <f>IF(J$1="差距(Median)",(I4-F4)/I4,IF(J$1="差距(UQ)",I4-F4,IF(J$1="差距(LQ)",I4-H4)))</f>
        <v>-18.999999998050001</v>
      </c>
      <c r="K4" s="92">
        <f>IF(J$1="差距(Median)",(I4-F4)/I4,IF(J$1="差距(UQ)",(I4-F4)/I4,IF(J$1="差距(LQ)",(I4-H4)/I4)))</f>
        <v>-9743589742.5897427</v>
      </c>
      <c r="L4" s="275">
        <v>60</v>
      </c>
      <c r="M4" s="93"/>
      <c r="N4" s="24">
        <f>入學要求!S358</f>
        <v>0</v>
      </c>
      <c r="O4" s="274"/>
      <c r="P4" s="274">
        <v>3</v>
      </c>
      <c r="Q4" s="274">
        <v>3</v>
      </c>
      <c r="R4" s="274">
        <v>2</v>
      </c>
      <c r="S4" s="274">
        <v>2</v>
      </c>
      <c r="T4" s="274">
        <v>2</v>
      </c>
    </row>
    <row r="5" spans="1:20" s="294" customFormat="1" ht="18" customHeight="1">
      <c r="A5" s="285" t="s">
        <v>1398</v>
      </c>
      <c r="B5" s="285" t="s">
        <v>1396</v>
      </c>
      <c r="C5" s="285" t="s">
        <v>1494</v>
      </c>
      <c r="D5" s="285" t="s">
        <v>1399</v>
      </c>
      <c r="E5" s="285" t="s">
        <v>1379</v>
      </c>
      <c r="F5" s="286">
        <v>18</v>
      </c>
      <c r="G5" s="286"/>
      <c r="H5" s="286">
        <v>15</v>
      </c>
      <c r="I5" s="288">
        <f>計分版!D374</f>
        <v>1.9500000000000001E-9</v>
      </c>
      <c r="J5" s="289">
        <f t="shared" ref="J5:J6" si="0">IF(J$1="差距(Median)",(I5-F5)/I5,IF(J$1="差距(UQ)",I5-F5,IF(J$1="差距(LQ)",I5-H5)))</f>
        <v>-17.999999998050001</v>
      </c>
      <c r="K5" s="290">
        <f t="shared" ref="K5:K6" si="1">IF(J$1="差距(Median)",(I5-F5)/I5,IF(J$1="差距(UQ)",(I5-F5)/I5,IF(J$1="差距(LQ)",(I5-H5)/I5)))</f>
        <v>-9230769229.7692299</v>
      </c>
      <c r="L5" s="291">
        <v>30</v>
      </c>
      <c r="M5" s="292"/>
      <c r="N5" s="24">
        <f>入學要求!S359</f>
        <v>0</v>
      </c>
      <c r="O5" s="293"/>
      <c r="P5" s="293">
        <v>3</v>
      </c>
      <c r="Q5" s="293">
        <v>3</v>
      </c>
      <c r="R5" s="293">
        <v>2</v>
      </c>
      <c r="S5" s="293">
        <v>2</v>
      </c>
      <c r="T5" s="293">
        <v>2</v>
      </c>
    </row>
    <row r="6" spans="1:20" ht="18" customHeight="1">
      <c r="A6" s="19" t="s">
        <v>1400</v>
      </c>
      <c r="B6" s="19" t="s">
        <v>1396</v>
      </c>
      <c r="C6" s="19" t="s">
        <v>1495</v>
      </c>
      <c r="D6" s="19" t="s">
        <v>1401</v>
      </c>
      <c r="E6" s="19" t="s">
        <v>1379</v>
      </c>
      <c r="F6" s="21">
        <v>19</v>
      </c>
      <c r="G6" s="21"/>
      <c r="H6" s="21">
        <v>12</v>
      </c>
      <c r="I6" s="230">
        <f>計分版!D375</f>
        <v>1.9500000000000001E-9</v>
      </c>
      <c r="J6" s="91">
        <f t="shared" si="0"/>
        <v>-18.999999998050001</v>
      </c>
      <c r="K6" s="92">
        <f t="shared" si="1"/>
        <v>-9743589742.5897427</v>
      </c>
      <c r="L6" s="275">
        <v>30</v>
      </c>
      <c r="M6" s="93"/>
      <c r="N6" s="24">
        <f>入學要求!S360</f>
        <v>0</v>
      </c>
      <c r="O6" s="274"/>
      <c r="P6" s="274">
        <v>3</v>
      </c>
      <c r="Q6" s="274">
        <v>3</v>
      </c>
      <c r="R6" s="274">
        <v>2</v>
      </c>
      <c r="S6" s="274">
        <v>2</v>
      </c>
      <c r="T6" s="274">
        <v>2</v>
      </c>
    </row>
    <row r="7" spans="1:20" s="294" customFormat="1" ht="18" customHeight="1">
      <c r="A7" s="285" t="s">
        <v>1402</v>
      </c>
      <c r="B7" s="285" t="s">
        <v>1496</v>
      </c>
      <c r="C7" s="285" t="s">
        <v>1497</v>
      </c>
      <c r="D7" s="285" t="s">
        <v>1403</v>
      </c>
      <c r="E7" s="285" t="s">
        <v>1379</v>
      </c>
      <c r="F7" s="286"/>
      <c r="G7" s="287">
        <v>17.46</v>
      </c>
      <c r="H7" s="286"/>
      <c r="I7" s="288">
        <f>計分版!D376</f>
        <v>1.9000000000000001E-9</v>
      </c>
      <c r="J7" s="289">
        <f>I7-G7</f>
        <v>-17.459999998100002</v>
      </c>
      <c r="K7" s="290">
        <f>(I7-G7)/I7</f>
        <v>-9189473683.2105274</v>
      </c>
      <c r="L7" s="291">
        <v>105</v>
      </c>
      <c r="M7" s="292"/>
      <c r="N7" s="24">
        <f>入學要求!S361</f>
        <v>0</v>
      </c>
      <c r="O7" s="293"/>
      <c r="P7" s="293">
        <v>3</v>
      </c>
      <c r="Q7" s="293">
        <v>3</v>
      </c>
      <c r="R7" s="293">
        <v>2</v>
      </c>
      <c r="S7" s="293">
        <v>2</v>
      </c>
      <c r="T7" s="293">
        <v>2</v>
      </c>
    </row>
    <row r="8" spans="1:20" ht="18" customHeight="1">
      <c r="A8" s="19" t="s">
        <v>1404</v>
      </c>
      <c r="B8" s="19" t="s">
        <v>1496</v>
      </c>
      <c r="C8" s="19" t="s">
        <v>1498</v>
      </c>
      <c r="D8" s="19" t="s">
        <v>1405</v>
      </c>
      <c r="E8" s="19" t="s">
        <v>1379</v>
      </c>
      <c r="F8" s="21"/>
      <c r="G8" s="219">
        <v>17.100000000000001</v>
      </c>
      <c r="H8" s="21"/>
      <c r="I8" s="230">
        <f>計分版!D377</f>
        <v>1.9000000000000001E-9</v>
      </c>
      <c r="J8" s="91">
        <f t="shared" ref="J8:J16" si="2">I8-G8</f>
        <v>-17.099999998100003</v>
      </c>
      <c r="K8" s="92">
        <f>(I8-G8)/I8</f>
        <v>-8999999999.0000019</v>
      </c>
      <c r="L8" s="275">
        <v>35</v>
      </c>
      <c r="M8" s="93"/>
      <c r="N8" s="24">
        <f>入學要求!S362</f>
        <v>0</v>
      </c>
      <c r="O8" s="274"/>
      <c r="P8" s="274">
        <v>3</v>
      </c>
      <c r="Q8" s="274">
        <v>3</v>
      </c>
      <c r="R8" s="274">
        <v>2</v>
      </c>
      <c r="S8" s="274">
        <v>2</v>
      </c>
      <c r="T8" s="274">
        <v>2</v>
      </c>
    </row>
    <row r="9" spans="1:20" s="294" customFormat="1" ht="18" customHeight="1">
      <c r="A9" s="285" t="s">
        <v>1406</v>
      </c>
      <c r="B9" s="285" t="s">
        <v>1496</v>
      </c>
      <c r="C9" s="285" t="s">
        <v>1499</v>
      </c>
      <c r="D9" s="285" t="s">
        <v>1407</v>
      </c>
      <c r="E9" s="285" t="s">
        <v>1379</v>
      </c>
      <c r="F9" s="286"/>
      <c r="G9" s="287">
        <v>16.420000000000002</v>
      </c>
      <c r="H9" s="286"/>
      <c r="I9" s="288">
        <f>計分版!D378</f>
        <v>1.9000000000000001E-9</v>
      </c>
      <c r="J9" s="289">
        <f t="shared" si="2"/>
        <v>-16.419999998100003</v>
      </c>
      <c r="K9" s="290">
        <f t="shared" ref="K9:K16" si="3">(I9-G9)/I9</f>
        <v>-8642105262.157896</v>
      </c>
      <c r="L9" s="291">
        <v>60</v>
      </c>
      <c r="M9" s="292"/>
      <c r="N9" s="24">
        <f>入學要求!S363</f>
        <v>0</v>
      </c>
      <c r="O9" s="293"/>
      <c r="P9" s="293">
        <v>3</v>
      </c>
      <c r="Q9" s="293">
        <v>3</v>
      </c>
      <c r="R9" s="293">
        <v>2</v>
      </c>
      <c r="S9" s="293">
        <v>2</v>
      </c>
      <c r="T9" s="293">
        <v>2</v>
      </c>
    </row>
    <row r="10" spans="1:20" ht="18" customHeight="1">
      <c r="A10" s="19" t="s">
        <v>1408</v>
      </c>
      <c r="B10" s="19" t="s">
        <v>1496</v>
      </c>
      <c r="C10" s="19" t="s">
        <v>1500</v>
      </c>
      <c r="D10" s="19" t="s">
        <v>1409</v>
      </c>
      <c r="E10" s="19" t="s">
        <v>1379</v>
      </c>
      <c r="F10" s="21"/>
      <c r="G10" s="219">
        <v>16.690000000000001</v>
      </c>
      <c r="H10" s="21"/>
      <c r="I10" s="230">
        <f>計分版!D379</f>
        <v>1.9000000000000001E-9</v>
      </c>
      <c r="J10" s="91">
        <f t="shared" si="2"/>
        <v>-16.689999998100003</v>
      </c>
      <c r="K10" s="92">
        <f t="shared" si="3"/>
        <v>-8784210525.3157902</v>
      </c>
      <c r="L10" s="275">
        <v>70</v>
      </c>
      <c r="M10" s="93">
        <v>18</v>
      </c>
      <c r="N10" s="24">
        <f>入學要求!S364</f>
        <v>0</v>
      </c>
      <c r="O10" s="274"/>
      <c r="P10" s="274">
        <v>3</v>
      </c>
      <c r="Q10" s="274">
        <v>3</v>
      </c>
      <c r="R10" s="274">
        <v>2</v>
      </c>
      <c r="S10" s="274">
        <v>2</v>
      </c>
      <c r="T10" s="274">
        <v>2</v>
      </c>
    </row>
    <row r="11" spans="1:20" s="294" customFormat="1" ht="18" customHeight="1">
      <c r="A11" s="285" t="s">
        <v>1410</v>
      </c>
      <c r="B11" s="285" t="s">
        <v>1496</v>
      </c>
      <c r="C11" s="285" t="s">
        <v>1501</v>
      </c>
      <c r="D11" s="285" t="s">
        <v>1411</v>
      </c>
      <c r="E11" s="285" t="s">
        <v>1379</v>
      </c>
      <c r="F11" s="286"/>
      <c r="G11" s="287">
        <v>16.8</v>
      </c>
      <c r="H11" s="286"/>
      <c r="I11" s="288">
        <f>計分版!D380</f>
        <v>1.9000000000000001E-9</v>
      </c>
      <c r="J11" s="289">
        <f t="shared" si="2"/>
        <v>-16.799999998100002</v>
      </c>
      <c r="K11" s="290">
        <f t="shared" si="3"/>
        <v>-8842105262.157896</v>
      </c>
      <c r="L11" s="291">
        <v>65</v>
      </c>
      <c r="M11" s="292"/>
      <c r="N11" s="24">
        <f>入學要求!S365</f>
        <v>0</v>
      </c>
      <c r="O11" s="293"/>
      <c r="P11" s="293">
        <v>3</v>
      </c>
      <c r="Q11" s="293">
        <v>3</v>
      </c>
      <c r="R11" s="293">
        <v>2</v>
      </c>
      <c r="S11" s="293">
        <v>2</v>
      </c>
      <c r="T11" s="293">
        <v>2</v>
      </c>
    </row>
    <row r="12" spans="1:20" ht="18" customHeight="1">
      <c r="A12" s="19" t="s">
        <v>1412</v>
      </c>
      <c r="B12" s="19" t="s">
        <v>1413</v>
      </c>
      <c r="C12" s="19" t="s">
        <v>1502</v>
      </c>
      <c r="D12" s="19" t="s">
        <v>1414</v>
      </c>
      <c r="E12" s="19" t="s">
        <v>1379</v>
      </c>
      <c r="F12" s="21"/>
      <c r="G12" s="219">
        <v>18.73</v>
      </c>
      <c r="H12" s="21"/>
      <c r="I12" s="230">
        <f>計分版!D381</f>
        <v>1.9000000000000001E-9</v>
      </c>
      <c r="J12" s="91">
        <f t="shared" si="2"/>
        <v>-18.729999998100002</v>
      </c>
      <c r="K12" s="92">
        <f t="shared" si="3"/>
        <v>-9857894735.8421059</v>
      </c>
      <c r="L12" s="275">
        <v>350</v>
      </c>
      <c r="M12" s="93"/>
      <c r="N12" s="24">
        <f>入學要求!S366</f>
        <v>0</v>
      </c>
      <c r="O12" s="274"/>
      <c r="P12" s="274">
        <v>3</v>
      </c>
      <c r="Q12" s="274">
        <v>3</v>
      </c>
      <c r="R12" s="274">
        <v>2</v>
      </c>
      <c r="S12" s="274">
        <v>2</v>
      </c>
      <c r="T12" s="274">
        <v>2</v>
      </c>
    </row>
    <row r="13" spans="1:20" s="294" customFormat="1" ht="18" customHeight="1">
      <c r="A13" s="285" t="s">
        <v>1415</v>
      </c>
      <c r="B13" s="285" t="s">
        <v>1413</v>
      </c>
      <c r="C13" s="285" t="s">
        <v>1503</v>
      </c>
      <c r="D13" s="285" t="s">
        <v>1416</v>
      </c>
      <c r="E13" s="285" t="s">
        <v>1379</v>
      </c>
      <c r="F13" s="286"/>
      <c r="G13" s="287">
        <v>21</v>
      </c>
      <c r="H13" s="286"/>
      <c r="I13" s="288">
        <f>計分版!D382</f>
        <v>1.9000000000000001E-9</v>
      </c>
      <c r="J13" s="289">
        <f t="shared" si="2"/>
        <v>-20.999999998100002</v>
      </c>
      <c r="K13" s="290">
        <f t="shared" si="3"/>
        <v>-11052631577.947369</v>
      </c>
      <c r="L13" s="291">
        <v>45</v>
      </c>
      <c r="M13" s="292"/>
      <c r="N13" s="24">
        <f>入學要求!S367</f>
        <v>0</v>
      </c>
      <c r="O13" s="293"/>
      <c r="P13" s="293">
        <v>3</v>
      </c>
      <c r="Q13" s="293">
        <v>3</v>
      </c>
      <c r="R13" s="293">
        <v>2</v>
      </c>
      <c r="S13" s="293">
        <v>2</v>
      </c>
      <c r="T13" s="293">
        <v>2</v>
      </c>
    </row>
    <row r="14" spans="1:20" ht="18" customHeight="1">
      <c r="A14" s="19" t="s">
        <v>1417</v>
      </c>
      <c r="B14" s="19" t="s">
        <v>1413</v>
      </c>
      <c r="C14" s="19" t="s">
        <v>1504</v>
      </c>
      <c r="D14" s="19" t="s">
        <v>1418</v>
      </c>
      <c r="E14" s="19" t="s">
        <v>1379</v>
      </c>
      <c r="F14" s="21"/>
      <c r="G14" s="219">
        <v>22.8</v>
      </c>
      <c r="H14" s="21"/>
      <c r="I14" s="230">
        <f>計分版!D383</f>
        <v>1.9000000000000001E-9</v>
      </c>
      <c r="J14" s="91">
        <f t="shared" si="2"/>
        <v>-22.799999998100002</v>
      </c>
      <c r="K14" s="92">
        <f t="shared" si="3"/>
        <v>-11999999999</v>
      </c>
      <c r="L14" s="275">
        <v>15</v>
      </c>
      <c r="M14" s="93"/>
      <c r="N14" s="24">
        <f>入學要求!S368</f>
        <v>0</v>
      </c>
      <c r="O14" s="274"/>
      <c r="P14" s="274">
        <v>3</v>
      </c>
      <c r="Q14" s="274">
        <v>3</v>
      </c>
      <c r="R14" s="274">
        <v>2</v>
      </c>
      <c r="S14" s="274">
        <v>2</v>
      </c>
      <c r="T14" s="274">
        <v>2</v>
      </c>
    </row>
    <row r="15" spans="1:20" s="294" customFormat="1" ht="18" customHeight="1">
      <c r="A15" s="285" t="s">
        <v>1419</v>
      </c>
      <c r="B15" s="285" t="s">
        <v>1413</v>
      </c>
      <c r="C15" s="285" t="s">
        <v>1505</v>
      </c>
      <c r="D15" s="285" t="s">
        <v>1420</v>
      </c>
      <c r="E15" s="285" t="s">
        <v>1379</v>
      </c>
      <c r="F15" s="286"/>
      <c r="G15" s="287">
        <v>21.56</v>
      </c>
      <c r="H15" s="286"/>
      <c r="I15" s="288">
        <f>計分版!D384</f>
        <v>1.9000000000000001E-9</v>
      </c>
      <c r="J15" s="289">
        <f t="shared" si="2"/>
        <v>-21.5599999981</v>
      </c>
      <c r="K15" s="290">
        <f t="shared" si="3"/>
        <v>-11347368420.052631</v>
      </c>
      <c r="L15" s="291">
        <v>50</v>
      </c>
      <c r="M15" s="292"/>
      <c r="N15" s="24">
        <f>入學要求!S369</f>
        <v>0</v>
      </c>
      <c r="O15" s="293"/>
      <c r="P15" s="293">
        <v>3</v>
      </c>
      <c r="Q15" s="293">
        <v>3</v>
      </c>
      <c r="R15" s="293">
        <v>2</v>
      </c>
      <c r="S15" s="293">
        <v>2</v>
      </c>
      <c r="T15" s="293">
        <v>2</v>
      </c>
    </row>
    <row r="16" spans="1:20" ht="18" customHeight="1">
      <c r="A16" s="19" t="s">
        <v>1421</v>
      </c>
      <c r="B16" s="19" t="s">
        <v>1413</v>
      </c>
      <c r="C16" s="19" t="s">
        <v>1506</v>
      </c>
      <c r="D16" s="19" t="s">
        <v>1422</v>
      </c>
      <c r="E16" s="19" t="s">
        <v>1379</v>
      </c>
      <c r="F16" s="21"/>
      <c r="G16" s="219">
        <v>23.02</v>
      </c>
      <c r="H16" s="21"/>
      <c r="I16" s="230">
        <f>計分版!D385</f>
        <v>1.9000000000000001E-9</v>
      </c>
      <c r="J16" s="91">
        <f t="shared" si="2"/>
        <v>-23.019999998100001</v>
      </c>
      <c r="K16" s="92">
        <f t="shared" si="3"/>
        <v>-12115789472.684212</v>
      </c>
      <c r="L16" s="275">
        <v>50</v>
      </c>
      <c r="M16" s="93"/>
      <c r="N16" s="24">
        <f>入學要求!S370</f>
        <v>0</v>
      </c>
      <c r="O16" s="274"/>
      <c r="P16" s="274">
        <v>3</v>
      </c>
      <c r="Q16" s="274">
        <v>3</v>
      </c>
      <c r="R16" s="274">
        <v>2</v>
      </c>
      <c r="S16" s="274">
        <v>2</v>
      </c>
      <c r="T16" s="274">
        <v>2</v>
      </c>
    </row>
    <row r="17" spans="1:20" s="294" customFormat="1" ht="18" customHeight="1">
      <c r="A17" s="285" t="s">
        <v>1423</v>
      </c>
      <c r="B17" s="285" t="s">
        <v>1424</v>
      </c>
      <c r="C17" s="285" t="s">
        <v>1425</v>
      </c>
      <c r="D17" s="285" t="s">
        <v>1426</v>
      </c>
      <c r="E17" s="285" t="s">
        <v>1379</v>
      </c>
      <c r="F17" s="286"/>
      <c r="G17" s="286">
        <v>20</v>
      </c>
      <c r="H17" s="286">
        <v>19</v>
      </c>
      <c r="I17" s="288">
        <f>計分版!D386</f>
        <v>2.0999999999999998E-9</v>
      </c>
      <c r="J17" s="289">
        <f>IF(J$1="差距(Median)",I17-G17,IF(J$1="差距(UQ)",I17-G17,IF(J$1="差距(LQ)",I17-H17)))</f>
        <v>-19.999999997900002</v>
      </c>
      <c r="K17" s="290">
        <f>IF(J$1="差距(Median)",(I17-G17)/I17,IF(J$1="差距(UQ)",(I17-G17)/I17,IF(J$1="差距(LQ)",(I17-H17)/I17)))</f>
        <v>-9523809522.8095264</v>
      </c>
      <c r="L17" s="291">
        <v>80</v>
      </c>
      <c r="M17" s="292"/>
      <c r="N17" s="24">
        <f>入學要求!S371</f>
        <v>0</v>
      </c>
      <c r="O17" s="293"/>
      <c r="P17" s="293">
        <v>3</v>
      </c>
      <c r="Q17" s="293">
        <v>3</v>
      </c>
      <c r="R17" s="293">
        <v>2</v>
      </c>
      <c r="S17" s="293">
        <v>2</v>
      </c>
      <c r="T17" s="293">
        <v>2</v>
      </c>
    </row>
    <row r="18" spans="1:20" ht="18" customHeight="1">
      <c r="A18" s="19" t="s">
        <v>1427</v>
      </c>
      <c r="B18" s="19" t="s">
        <v>1424</v>
      </c>
      <c r="C18" s="19" t="s">
        <v>1428</v>
      </c>
      <c r="D18" s="19" t="s">
        <v>1429</v>
      </c>
      <c r="E18" s="19" t="s">
        <v>1379</v>
      </c>
      <c r="F18" s="21"/>
      <c r="G18" s="21">
        <v>16</v>
      </c>
      <c r="H18" s="21">
        <v>16</v>
      </c>
      <c r="I18" s="230">
        <f>計分版!D387</f>
        <v>1.9500000000000001E-9</v>
      </c>
      <c r="J18" s="91">
        <f t="shared" ref="J18:J28" si="4">IF(J$1="差距(Median)",I18-G18,IF(J$1="差距(UQ)",I18-G18,IF(J$1="差距(LQ)",I18-H18)))</f>
        <v>-15.999999998050001</v>
      </c>
      <c r="K18" s="92">
        <f t="shared" ref="K18:K28" si="5">IF(J$1="差距(Median)",(I18-G18)/I18,IF(J$1="差距(UQ)",(I18-G18)/I18,IF(J$1="差距(LQ)",(I18-H18)/I18)))</f>
        <v>-8205128204.1282053</v>
      </c>
      <c r="L18" s="275">
        <v>80</v>
      </c>
      <c r="M18" s="93"/>
      <c r="N18" s="24">
        <f>入學要求!S372</f>
        <v>0</v>
      </c>
      <c r="O18" s="274"/>
      <c r="P18" s="274">
        <v>3</v>
      </c>
      <c r="Q18" s="274">
        <v>3</v>
      </c>
      <c r="R18" s="274">
        <v>2</v>
      </c>
      <c r="S18" s="274">
        <v>2</v>
      </c>
      <c r="T18" s="274">
        <v>2</v>
      </c>
    </row>
    <row r="19" spans="1:20" s="294" customFormat="1" ht="18" customHeight="1">
      <c r="A19" s="285" t="s">
        <v>1430</v>
      </c>
      <c r="B19" s="285" t="s">
        <v>1424</v>
      </c>
      <c r="C19" s="285" t="s">
        <v>1431</v>
      </c>
      <c r="D19" s="285" t="s">
        <v>1432</v>
      </c>
      <c r="E19" s="285" t="s">
        <v>1379</v>
      </c>
      <c r="F19" s="286"/>
      <c r="G19" s="286">
        <v>20</v>
      </c>
      <c r="H19" s="286">
        <v>18</v>
      </c>
      <c r="I19" s="288">
        <f>計分版!D388</f>
        <v>2.0999999999999998E-9</v>
      </c>
      <c r="J19" s="289">
        <f t="shared" si="4"/>
        <v>-19.999999997900002</v>
      </c>
      <c r="K19" s="290">
        <f t="shared" si="5"/>
        <v>-9523809522.8095264</v>
      </c>
      <c r="L19" s="291">
        <v>80</v>
      </c>
      <c r="M19" s="292"/>
      <c r="N19" s="24">
        <f>入學要求!S373</f>
        <v>0</v>
      </c>
      <c r="O19" s="293"/>
      <c r="P19" s="293">
        <v>3</v>
      </c>
      <c r="Q19" s="293">
        <v>3</v>
      </c>
      <c r="R19" s="293">
        <v>2</v>
      </c>
      <c r="S19" s="293">
        <v>2</v>
      </c>
      <c r="T19" s="293">
        <v>2</v>
      </c>
    </row>
    <row r="20" spans="1:20" ht="18" customHeight="1">
      <c r="A20" s="19" t="s">
        <v>1433</v>
      </c>
      <c r="B20" s="19" t="s">
        <v>1424</v>
      </c>
      <c r="C20" s="19" t="s">
        <v>1434</v>
      </c>
      <c r="D20" s="19" t="s">
        <v>1435</v>
      </c>
      <c r="E20" s="19" t="s">
        <v>1379</v>
      </c>
      <c r="F20" s="21"/>
      <c r="G20" s="21">
        <v>20</v>
      </c>
      <c r="H20" s="21">
        <v>19</v>
      </c>
      <c r="I20" s="230">
        <f>計分版!D389</f>
        <v>1.9500000000000001E-9</v>
      </c>
      <c r="J20" s="91">
        <f t="shared" si="4"/>
        <v>-19.999999998050001</v>
      </c>
      <c r="K20" s="92">
        <f t="shared" si="5"/>
        <v>-10256410255.410255</v>
      </c>
      <c r="L20" s="275">
        <v>325</v>
      </c>
      <c r="M20" s="93"/>
      <c r="N20" s="24">
        <f>入學要求!S374</f>
        <v>0</v>
      </c>
      <c r="O20" s="274"/>
      <c r="P20" s="274">
        <v>3</v>
      </c>
      <c r="Q20" s="274">
        <v>3</v>
      </c>
      <c r="R20" s="274">
        <v>2</v>
      </c>
      <c r="S20" s="274">
        <v>2</v>
      </c>
      <c r="T20" s="274">
        <v>2</v>
      </c>
    </row>
    <row r="21" spans="1:20" s="294" customFormat="1" ht="18" customHeight="1">
      <c r="A21" s="285" t="s">
        <v>1436</v>
      </c>
      <c r="B21" s="285" t="s">
        <v>1424</v>
      </c>
      <c r="C21" s="285" t="s">
        <v>1437</v>
      </c>
      <c r="D21" s="285" t="s">
        <v>1438</v>
      </c>
      <c r="E21" s="285" t="s">
        <v>1379</v>
      </c>
      <c r="F21" s="286"/>
      <c r="G21" s="286">
        <v>18</v>
      </c>
      <c r="H21" s="286">
        <v>17</v>
      </c>
      <c r="I21" s="288">
        <f>計分版!D390</f>
        <v>1.9500000000000001E-9</v>
      </c>
      <c r="J21" s="289">
        <f t="shared" si="4"/>
        <v>-17.999999998050001</v>
      </c>
      <c r="K21" s="290">
        <f t="shared" si="5"/>
        <v>-9230769229.7692299</v>
      </c>
      <c r="L21" s="291">
        <v>125</v>
      </c>
      <c r="M21" s="292"/>
      <c r="N21" s="24">
        <f>入學要求!S375</f>
        <v>0</v>
      </c>
      <c r="O21" s="293"/>
      <c r="P21" s="293">
        <v>3</v>
      </c>
      <c r="Q21" s="293">
        <v>3</v>
      </c>
      <c r="R21" s="293">
        <v>2</v>
      </c>
      <c r="S21" s="293">
        <v>2</v>
      </c>
      <c r="T21" s="293">
        <v>2</v>
      </c>
    </row>
    <row r="22" spans="1:20" ht="18" customHeight="1">
      <c r="A22" s="19" t="s">
        <v>1439</v>
      </c>
      <c r="B22" s="19" t="s">
        <v>1424</v>
      </c>
      <c r="C22" s="19" t="s">
        <v>1440</v>
      </c>
      <c r="D22" s="19" t="s">
        <v>1441</v>
      </c>
      <c r="E22" s="19" t="s">
        <v>1379</v>
      </c>
      <c r="F22" s="21"/>
      <c r="G22" s="21">
        <v>16</v>
      </c>
      <c r="H22" s="21">
        <v>16</v>
      </c>
      <c r="I22" s="230">
        <f>計分版!D391</f>
        <v>1.9500000000000001E-9</v>
      </c>
      <c r="J22" s="91">
        <f t="shared" si="4"/>
        <v>-15.999999998050001</v>
      </c>
      <c r="K22" s="92">
        <f t="shared" si="5"/>
        <v>-8205128204.1282053</v>
      </c>
      <c r="L22" s="275">
        <v>100</v>
      </c>
      <c r="M22" s="93"/>
      <c r="N22" s="24">
        <f>入學要求!S376</f>
        <v>0</v>
      </c>
      <c r="O22" s="274"/>
      <c r="P22" s="274">
        <v>3</v>
      </c>
      <c r="Q22" s="274">
        <v>3</v>
      </c>
      <c r="R22" s="274">
        <v>2</v>
      </c>
      <c r="S22" s="274">
        <v>2</v>
      </c>
      <c r="T22" s="274">
        <v>2</v>
      </c>
    </row>
    <row r="23" spans="1:20" s="294" customFormat="1" ht="18" customHeight="1">
      <c r="A23" s="285" t="s">
        <v>1442</v>
      </c>
      <c r="B23" s="285" t="s">
        <v>1424</v>
      </c>
      <c r="C23" s="285" t="s">
        <v>1443</v>
      </c>
      <c r="D23" s="285" t="s">
        <v>1444</v>
      </c>
      <c r="E23" s="285" t="s">
        <v>1379</v>
      </c>
      <c r="F23" s="286"/>
      <c r="G23" s="286">
        <v>17</v>
      </c>
      <c r="H23" s="286">
        <v>16</v>
      </c>
      <c r="I23" s="288">
        <f>計分版!D392</f>
        <v>1.9500000000000001E-9</v>
      </c>
      <c r="J23" s="289">
        <f t="shared" si="4"/>
        <v>-16.999999998050001</v>
      </c>
      <c r="K23" s="290">
        <f t="shared" si="5"/>
        <v>-8717948716.9487171</v>
      </c>
      <c r="L23" s="291">
        <v>30</v>
      </c>
      <c r="M23" s="292"/>
      <c r="N23" s="24">
        <f>入學要求!S377</f>
        <v>0</v>
      </c>
      <c r="O23" s="293"/>
      <c r="P23" s="293">
        <v>3</v>
      </c>
      <c r="Q23" s="293">
        <v>3</v>
      </c>
      <c r="R23" s="293">
        <v>2</v>
      </c>
      <c r="S23" s="293">
        <v>2</v>
      </c>
      <c r="T23" s="293">
        <v>2</v>
      </c>
    </row>
    <row r="24" spans="1:20" ht="18" customHeight="1">
      <c r="A24" s="19" t="s">
        <v>1445</v>
      </c>
      <c r="B24" s="19" t="s">
        <v>1424</v>
      </c>
      <c r="C24" s="19" t="s">
        <v>1446</v>
      </c>
      <c r="D24" s="19" t="s">
        <v>1447</v>
      </c>
      <c r="E24" s="19" t="s">
        <v>82</v>
      </c>
      <c r="F24" s="21"/>
      <c r="G24" s="21">
        <v>17</v>
      </c>
      <c r="H24" s="21">
        <v>16</v>
      </c>
      <c r="I24" s="230">
        <f>計分版!D393</f>
        <v>3.9500000000000006E-9</v>
      </c>
      <c r="J24" s="91">
        <f t="shared" si="4"/>
        <v>-16.999999996050001</v>
      </c>
      <c r="K24" s="92">
        <f t="shared" si="5"/>
        <v>-4303797467.3544302</v>
      </c>
      <c r="L24" s="275">
        <v>60</v>
      </c>
      <c r="M24" s="93"/>
      <c r="N24" s="24">
        <f>入學要求!S378</f>
        <v>0</v>
      </c>
      <c r="O24" s="274"/>
      <c r="P24" s="274">
        <v>3</v>
      </c>
      <c r="Q24" s="274">
        <v>3</v>
      </c>
      <c r="R24" s="274">
        <v>2</v>
      </c>
      <c r="S24" s="274">
        <v>2</v>
      </c>
      <c r="T24" s="274">
        <v>2</v>
      </c>
    </row>
    <row r="25" spans="1:20" s="294" customFormat="1" ht="18" customHeight="1">
      <c r="A25" s="285" t="s">
        <v>1448</v>
      </c>
      <c r="B25" s="285" t="s">
        <v>1424</v>
      </c>
      <c r="C25" s="285" t="s">
        <v>1449</v>
      </c>
      <c r="D25" s="285" t="s">
        <v>1450</v>
      </c>
      <c r="E25" s="285" t="s">
        <v>82</v>
      </c>
      <c r="F25" s="286"/>
      <c r="G25" s="286">
        <v>17</v>
      </c>
      <c r="H25" s="286">
        <v>16</v>
      </c>
      <c r="I25" s="288">
        <f>計分版!D394</f>
        <v>3.9500000000000006E-9</v>
      </c>
      <c r="J25" s="289">
        <f t="shared" si="4"/>
        <v>-16.999999996050001</v>
      </c>
      <c r="K25" s="290">
        <f t="shared" si="5"/>
        <v>-4303797467.3544302</v>
      </c>
      <c r="L25" s="291">
        <v>80</v>
      </c>
      <c r="M25" s="292"/>
      <c r="N25" s="24">
        <f>入學要求!S379</f>
        <v>0</v>
      </c>
      <c r="O25" s="293"/>
      <c r="P25" s="293">
        <v>3</v>
      </c>
      <c r="Q25" s="293">
        <v>3</v>
      </c>
      <c r="R25" s="293">
        <v>2</v>
      </c>
      <c r="S25" s="293">
        <v>2</v>
      </c>
      <c r="T25" s="293">
        <v>2</v>
      </c>
    </row>
    <row r="26" spans="1:20" ht="18" customHeight="1">
      <c r="A26" s="19" t="s">
        <v>1451</v>
      </c>
      <c r="B26" s="19" t="s">
        <v>1424</v>
      </c>
      <c r="C26" s="19" t="s">
        <v>1452</v>
      </c>
      <c r="D26" s="19" t="s">
        <v>1453</v>
      </c>
      <c r="E26" s="19" t="s">
        <v>214</v>
      </c>
      <c r="F26" s="21"/>
      <c r="G26" s="21">
        <v>17</v>
      </c>
      <c r="H26" s="21">
        <v>16</v>
      </c>
      <c r="I26" s="230">
        <f>計分版!D395</f>
        <v>3.9500000000000006E-9</v>
      </c>
      <c r="J26" s="91">
        <f t="shared" si="4"/>
        <v>-16.999999996050001</v>
      </c>
      <c r="K26" s="92">
        <f t="shared" si="5"/>
        <v>-4303797467.3544302</v>
      </c>
      <c r="L26" s="275">
        <v>40</v>
      </c>
      <c r="M26" s="93"/>
      <c r="N26" s="24">
        <f>入學要求!S380</f>
        <v>0</v>
      </c>
      <c r="O26" s="274"/>
      <c r="P26" s="274">
        <v>3</v>
      </c>
      <c r="Q26" s="274">
        <v>3</v>
      </c>
      <c r="R26" s="274">
        <v>2</v>
      </c>
      <c r="S26" s="274">
        <v>2</v>
      </c>
      <c r="T26" s="274">
        <v>2</v>
      </c>
    </row>
    <row r="27" spans="1:20" s="294" customFormat="1" ht="18" customHeight="1">
      <c r="A27" s="285" t="s">
        <v>1454</v>
      </c>
      <c r="B27" s="285" t="s">
        <v>1424</v>
      </c>
      <c r="C27" s="285" t="s">
        <v>1455</v>
      </c>
      <c r="D27" s="285" t="s">
        <v>1456</v>
      </c>
      <c r="E27" s="285" t="s">
        <v>214</v>
      </c>
      <c r="F27" s="286"/>
      <c r="G27" s="286">
        <v>16</v>
      </c>
      <c r="H27" s="286">
        <v>15</v>
      </c>
      <c r="I27" s="288">
        <f>計分版!D396</f>
        <v>3.9500000000000006E-9</v>
      </c>
      <c r="J27" s="289">
        <f t="shared" si="4"/>
        <v>-15.999999996050001</v>
      </c>
      <c r="K27" s="290">
        <f t="shared" si="5"/>
        <v>-4050632910.3924046</v>
      </c>
      <c r="L27" s="291">
        <v>80</v>
      </c>
      <c r="M27" s="292"/>
      <c r="N27" s="24">
        <f>入學要求!S381</f>
        <v>0</v>
      </c>
      <c r="O27" s="293"/>
      <c r="P27" s="293">
        <v>3</v>
      </c>
      <c r="Q27" s="293">
        <v>3</v>
      </c>
      <c r="R27" s="293">
        <v>2</v>
      </c>
      <c r="S27" s="293">
        <v>2</v>
      </c>
      <c r="T27" s="293">
        <v>2</v>
      </c>
    </row>
    <row r="28" spans="1:20" ht="18" customHeight="1">
      <c r="A28" s="19" t="s">
        <v>1457</v>
      </c>
      <c r="B28" s="19" t="s">
        <v>1424</v>
      </c>
      <c r="C28" s="19" t="s">
        <v>1458</v>
      </c>
      <c r="D28" s="19" t="s">
        <v>1459</v>
      </c>
      <c r="E28" s="19" t="s">
        <v>214</v>
      </c>
      <c r="F28" s="21"/>
      <c r="G28" s="21">
        <v>17</v>
      </c>
      <c r="H28" s="21">
        <v>16</v>
      </c>
      <c r="I28" s="230">
        <f>計分版!D397</f>
        <v>3.9500000000000006E-9</v>
      </c>
      <c r="J28" s="91">
        <f t="shared" si="4"/>
        <v>-16.999999996050001</v>
      </c>
      <c r="K28" s="92">
        <f t="shared" si="5"/>
        <v>-4303797467.3544302</v>
      </c>
      <c r="L28" s="275">
        <v>50</v>
      </c>
      <c r="M28" s="93"/>
      <c r="N28" s="24">
        <f>入學要求!S382</f>
        <v>0</v>
      </c>
      <c r="O28" s="274"/>
      <c r="P28" s="274">
        <v>3</v>
      </c>
      <c r="Q28" s="274">
        <v>3</v>
      </c>
      <c r="R28" s="274">
        <v>2</v>
      </c>
      <c r="S28" s="274">
        <v>2</v>
      </c>
      <c r="T28" s="274">
        <v>2</v>
      </c>
    </row>
    <row r="29" spans="1:20" s="294" customFormat="1" ht="18" customHeight="1">
      <c r="A29" s="285" t="s">
        <v>1460</v>
      </c>
      <c r="B29" s="285" t="s">
        <v>1507</v>
      </c>
      <c r="C29" s="285" t="s">
        <v>1461</v>
      </c>
      <c r="D29" s="285" t="s">
        <v>1462</v>
      </c>
      <c r="E29" s="285" t="s">
        <v>214</v>
      </c>
      <c r="F29" s="286"/>
      <c r="G29" s="287">
        <v>17</v>
      </c>
      <c r="H29" s="286"/>
      <c r="I29" s="288">
        <f>計分版!D398</f>
        <v>3.9500000000000006E-9</v>
      </c>
      <c r="J29" s="289">
        <f t="shared" ref="J29:J34" si="6">I29-G29</f>
        <v>-16.999999996050001</v>
      </c>
      <c r="K29" s="290">
        <f t="shared" ref="K29:K34" si="7">(I29-G29)/I29</f>
        <v>-4303797467.3544302</v>
      </c>
      <c r="L29" s="291">
        <v>60</v>
      </c>
      <c r="M29" s="292"/>
      <c r="N29" s="24">
        <f>入學要求!S383</f>
        <v>0</v>
      </c>
      <c r="O29" s="293"/>
      <c r="P29" s="293">
        <v>3</v>
      </c>
      <c r="Q29" s="293">
        <v>3</v>
      </c>
      <c r="R29" s="293">
        <v>2</v>
      </c>
      <c r="S29" s="293">
        <v>2</v>
      </c>
      <c r="T29" s="293">
        <v>2</v>
      </c>
    </row>
    <row r="30" spans="1:20" ht="18" customHeight="1">
      <c r="A30" s="19" t="s">
        <v>1463</v>
      </c>
      <c r="B30" s="19" t="s">
        <v>1507</v>
      </c>
      <c r="C30" s="19" t="s">
        <v>1464</v>
      </c>
      <c r="D30" s="19" t="s">
        <v>1465</v>
      </c>
      <c r="E30" s="19" t="s">
        <v>1379</v>
      </c>
      <c r="F30" s="21"/>
      <c r="G30" s="219">
        <v>17</v>
      </c>
      <c r="H30" s="21"/>
      <c r="I30" s="230">
        <f>計分版!D399</f>
        <v>1.9500000000000001E-9</v>
      </c>
      <c r="J30" s="91">
        <f t="shared" si="6"/>
        <v>-16.999999998050001</v>
      </c>
      <c r="K30" s="92">
        <f t="shared" si="7"/>
        <v>-8717948716.9487171</v>
      </c>
      <c r="L30" s="275">
        <v>60</v>
      </c>
      <c r="M30" s="93"/>
      <c r="N30" s="24">
        <f>入學要求!S384</f>
        <v>0</v>
      </c>
      <c r="O30" s="274"/>
      <c r="P30" s="274">
        <v>3</v>
      </c>
      <c r="Q30" s="274">
        <v>3</v>
      </c>
      <c r="R30" s="274">
        <v>2</v>
      </c>
      <c r="S30" s="274">
        <v>2</v>
      </c>
      <c r="T30" s="274">
        <v>2</v>
      </c>
    </row>
    <row r="31" spans="1:20" s="294" customFormat="1" ht="18" customHeight="1">
      <c r="A31" s="285" t="s">
        <v>1466</v>
      </c>
      <c r="B31" s="285" t="s">
        <v>1507</v>
      </c>
      <c r="C31" s="285" t="s">
        <v>1467</v>
      </c>
      <c r="D31" s="285" t="s">
        <v>1468</v>
      </c>
      <c r="E31" s="285" t="s">
        <v>1379</v>
      </c>
      <c r="F31" s="286"/>
      <c r="G31" s="287">
        <v>17</v>
      </c>
      <c r="H31" s="286"/>
      <c r="I31" s="288">
        <f>計分版!D400</f>
        <v>1.9500000000000001E-9</v>
      </c>
      <c r="J31" s="289">
        <f t="shared" si="6"/>
        <v>-16.999999998050001</v>
      </c>
      <c r="K31" s="290">
        <f t="shared" si="7"/>
        <v>-8717948716.9487171</v>
      </c>
      <c r="L31" s="291">
        <v>45</v>
      </c>
      <c r="M31" s="292"/>
      <c r="N31" s="24">
        <f>入學要求!S385</f>
        <v>0</v>
      </c>
      <c r="O31" s="293"/>
      <c r="P31" s="293">
        <v>3</v>
      </c>
      <c r="Q31" s="293">
        <v>3</v>
      </c>
      <c r="R31" s="293">
        <v>2</v>
      </c>
      <c r="S31" s="293">
        <v>2</v>
      </c>
      <c r="T31" s="293">
        <v>2</v>
      </c>
    </row>
    <row r="32" spans="1:20" ht="18" customHeight="1">
      <c r="A32" s="19" t="s">
        <v>1469</v>
      </c>
      <c r="B32" s="19" t="s">
        <v>1507</v>
      </c>
      <c r="C32" s="19" t="s">
        <v>1470</v>
      </c>
      <c r="D32" s="19" t="s">
        <v>1471</v>
      </c>
      <c r="E32" s="19" t="s">
        <v>1379</v>
      </c>
      <c r="F32" s="21"/>
      <c r="G32" s="219">
        <v>17</v>
      </c>
      <c r="H32" s="21"/>
      <c r="I32" s="230">
        <f>計分版!D401</f>
        <v>1.9500000000000001E-9</v>
      </c>
      <c r="J32" s="91">
        <f t="shared" si="6"/>
        <v>-16.999999998050001</v>
      </c>
      <c r="K32" s="92">
        <f t="shared" si="7"/>
        <v>-8717948716.9487171</v>
      </c>
      <c r="L32" s="275">
        <v>40</v>
      </c>
      <c r="M32" s="93"/>
      <c r="N32" s="24">
        <f>入學要求!S386</f>
        <v>0</v>
      </c>
      <c r="O32" s="274"/>
      <c r="P32" s="274">
        <v>3</v>
      </c>
      <c r="Q32" s="274">
        <v>3</v>
      </c>
      <c r="R32" s="274">
        <v>2</v>
      </c>
      <c r="S32" s="274">
        <v>2</v>
      </c>
      <c r="T32" s="274">
        <v>2</v>
      </c>
    </row>
    <row r="33" spans="1:20" s="294" customFormat="1" ht="18" customHeight="1">
      <c r="A33" s="285" t="s">
        <v>1472</v>
      </c>
      <c r="B33" s="285" t="s">
        <v>1507</v>
      </c>
      <c r="C33" s="285" t="s">
        <v>1473</v>
      </c>
      <c r="D33" s="285" t="s">
        <v>1474</v>
      </c>
      <c r="E33" s="285" t="s">
        <v>1379</v>
      </c>
      <c r="F33" s="286"/>
      <c r="G33" s="287">
        <v>17</v>
      </c>
      <c r="H33" s="286"/>
      <c r="I33" s="288">
        <f>計分版!D402</f>
        <v>1.9500000000000001E-9</v>
      </c>
      <c r="J33" s="289">
        <f t="shared" si="6"/>
        <v>-16.999999998050001</v>
      </c>
      <c r="K33" s="290">
        <f t="shared" si="7"/>
        <v>-8717948716.9487171</v>
      </c>
      <c r="L33" s="291">
        <v>90</v>
      </c>
      <c r="M33" s="292"/>
      <c r="N33" s="24">
        <f>入學要求!S387</f>
        <v>0</v>
      </c>
      <c r="O33" s="293"/>
      <c r="P33" s="293">
        <v>3</v>
      </c>
      <c r="Q33" s="293">
        <v>3</v>
      </c>
      <c r="R33" s="293">
        <v>2</v>
      </c>
      <c r="S33" s="293">
        <v>2</v>
      </c>
      <c r="T33" s="293">
        <v>2</v>
      </c>
    </row>
    <row r="34" spans="1:20" ht="18" customHeight="1">
      <c r="A34" s="19" t="s">
        <v>1475</v>
      </c>
      <c r="B34" s="19" t="s">
        <v>1507</v>
      </c>
      <c r="C34" s="19" t="s">
        <v>1476</v>
      </c>
      <c r="D34" s="19" t="s">
        <v>1477</v>
      </c>
      <c r="E34" s="19" t="s">
        <v>1379</v>
      </c>
      <c r="F34" s="21"/>
      <c r="G34" s="219">
        <v>17</v>
      </c>
      <c r="H34" s="21"/>
      <c r="I34" s="230">
        <f>計分版!D403</f>
        <v>1.9500000000000001E-9</v>
      </c>
      <c r="J34" s="91">
        <f t="shared" si="6"/>
        <v>-16.999999998050001</v>
      </c>
      <c r="K34" s="92">
        <f t="shared" si="7"/>
        <v>-8717948716.9487171</v>
      </c>
      <c r="L34" s="275">
        <v>60</v>
      </c>
      <c r="M34" s="93"/>
      <c r="N34" s="24">
        <f>入學要求!S388</f>
        <v>0</v>
      </c>
      <c r="O34" s="274"/>
      <c r="P34" s="274">
        <v>3</v>
      </c>
      <c r="Q34" s="274">
        <v>3</v>
      </c>
      <c r="R34" s="274">
        <v>2</v>
      </c>
      <c r="S34" s="274">
        <v>2</v>
      </c>
      <c r="T34" s="274">
        <v>2</v>
      </c>
    </row>
    <row r="35" spans="1:20" s="294" customFormat="1" ht="18" customHeight="1">
      <c r="A35" s="285" t="s">
        <v>1478</v>
      </c>
      <c r="B35" s="285" t="s">
        <v>1507</v>
      </c>
      <c r="C35" s="285" t="s">
        <v>1479</v>
      </c>
      <c r="D35" s="285" t="s">
        <v>1480</v>
      </c>
      <c r="E35" s="285" t="s">
        <v>1379</v>
      </c>
      <c r="F35" s="286"/>
      <c r="G35" s="287">
        <v>17</v>
      </c>
      <c r="H35" s="286"/>
      <c r="I35" s="288">
        <f>計分版!D404</f>
        <v>1.9500000000000001E-9</v>
      </c>
      <c r="J35" s="289">
        <f t="shared" ref="J35:J38" si="8">I35-G35</f>
        <v>-16.999999998050001</v>
      </c>
      <c r="K35" s="290">
        <f t="shared" ref="K35:K38" si="9">(I35-G35)/I35</f>
        <v>-8717948716.9487171</v>
      </c>
      <c r="L35" s="291">
        <v>60</v>
      </c>
      <c r="M35" s="292"/>
      <c r="N35" s="24">
        <f>入學要求!S389</f>
        <v>0</v>
      </c>
      <c r="O35" s="293"/>
      <c r="P35" s="293">
        <v>3</v>
      </c>
      <c r="Q35" s="293">
        <v>3</v>
      </c>
      <c r="R35" s="293">
        <v>2</v>
      </c>
      <c r="S35" s="293">
        <v>2</v>
      </c>
      <c r="T35" s="293">
        <v>2</v>
      </c>
    </row>
    <row r="36" spans="1:20" ht="16.5">
      <c r="A36" s="72" t="s">
        <v>1481</v>
      </c>
      <c r="B36" s="72" t="s">
        <v>1507</v>
      </c>
      <c r="C36" s="72" t="s">
        <v>1482</v>
      </c>
      <c r="D36" s="72" t="s">
        <v>1483</v>
      </c>
      <c r="E36" s="19" t="s">
        <v>1379</v>
      </c>
      <c r="F36" s="21"/>
      <c r="G36" s="219">
        <v>17</v>
      </c>
      <c r="H36" s="21"/>
      <c r="I36" s="230">
        <f>計分版!D405</f>
        <v>1.9500000000000001E-9</v>
      </c>
      <c r="J36" s="91">
        <f t="shared" si="8"/>
        <v>-16.999999998050001</v>
      </c>
      <c r="K36" s="92">
        <f t="shared" si="9"/>
        <v>-8717948716.9487171</v>
      </c>
      <c r="L36" s="275">
        <v>60</v>
      </c>
      <c r="M36" s="93"/>
      <c r="N36" s="24">
        <f>入學要求!S390</f>
        <v>0</v>
      </c>
      <c r="O36" s="274"/>
      <c r="P36" s="274">
        <v>3</v>
      </c>
      <c r="Q36" s="274">
        <v>3</v>
      </c>
      <c r="R36" s="274">
        <v>2</v>
      </c>
      <c r="S36" s="274">
        <v>2</v>
      </c>
      <c r="T36" s="274">
        <v>2</v>
      </c>
    </row>
    <row r="37" spans="1:20" s="296" customFormat="1" ht="16.5">
      <c r="A37" s="295" t="s">
        <v>1484</v>
      </c>
      <c r="B37" s="295" t="s">
        <v>1507</v>
      </c>
      <c r="C37" s="295" t="s">
        <v>1485</v>
      </c>
      <c r="D37" s="295" t="s">
        <v>1486</v>
      </c>
      <c r="E37" s="285" t="s">
        <v>1379</v>
      </c>
      <c r="F37" s="286"/>
      <c r="G37" s="287">
        <v>17</v>
      </c>
      <c r="H37" s="286"/>
      <c r="I37" s="288">
        <f>計分版!D406</f>
        <v>1.9500000000000001E-9</v>
      </c>
      <c r="J37" s="289">
        <f t="shared" si="8"/>
        <v>-16.999999998050001</v>
      </c>
      <c r="K37" s="290">
        <f t="shared" si="9"/>
        <v>-8717948716.9487171</v>
      </c>
      <c r="L37" s="291">
        <v>30</v>
      </c>
      <c r="M37" s="292"/>
      <c r="N37" s="24">
        <f>入學要求!S391</f>
        <v>0</v>
      </c>
      <c r="O37" s="293"/>
      <c r="P37" s="293">
        <v>3</v>
      </c>
      <c r="Q37" s="293">
        <v>3</v>
      </c>
      <c r="R37" s="293">
        <v>2</v>
      </c>
      <c r="S37" s="293">
        <v>2</v>
      </c>
      <c r="T37" s="293">
        <v>2</v>
      </c>
    </row>
    <row r="38" spans="1:20" s="66" customFormat="1" ht="16.5">
      <c r="A38" s="72" t="s">
        <v>1487</v>
      </c>
      <c r="B38" s="72" t="s">
        <v>1507</v>
      </c>
      <c r="C38" s="72" t="s">
        <v>1488</v>
      </c>
      <c r="D38" s="72" t="s">
        <v>1489</v>
      </c>
      <c r="E38" s="19" t="s">
        <v>1379</v>
      </c>
      <c r="F38" s="21"/>
      <c r="G38" s="219">
        <v>17</v>
      </c>
      <c r="H38" s="21"/>
      <c r="I38" s="230">
        <f>計分版!D407</f>
        <v>1.9500000000000001E-9</v>
      </c>
      <c r="J38" s="91">
        <f t="shared" si="8"/>
        <v>-16.999999998050001</v>
      </c>
      <c r="K38" s="92">
        <f t="shared" si="9"/>
        <v>-8717948716.9487171</v>
      </c>
      <c r="L38" s="275">
        <v>66</v>
      </c>
      <c r="M38" s="93"/>
      <c r="N38" s="24">
        <f>入學要求!S392</f>
        <v>0</v>
      </c>
      <c r="O38" s="274"/>
      <c r="P38" s="274">
        <v>3</v>
      </c>
      <c r="Q38" s="274">
        <v>3</v>
      </c>
      <c r="R38" s="274">
        <v>2</v>
      </c>
      <c r="S38" s="274">
        <v>2</v>
      </c>
      <c r="T38" s="274">
        <v>2</v>
      </c>
    </row>
    <row r="39" spans="1:20" ht="16.5" customHeight="1">
      <c r="B39" s="72"/>
      <c r="C39" s="72"/>
      <c r="D39" s="72"/>
      <c r="E39" s="68"/>
      <c r="F39" s="68"/>
      <c r="G39" s="73"/>
      <c r="H39" s="73"/>
    </row>
    <row r="40" spans="1:20" s="66" customFormat="1" ht="16.5">
      <c r="A40" s="72" t="s">
        <v>1513</v>
      </c>
      <c r="B40" s="20"/>
      <c r="C40" s="20"/>
      <c r="D40" s="20"/>
      <c r="E40" s="18"/>
      <c r="F40" s="18"/>
      <c r="G40" s="46"/>
      <c r="H40" s="46"/>
      <c r="I40" s="73"/>
      <c r="J40" s="74"/>
      <c r="K40" s="75"/>
      <c r="L40" s="73"/>
      <c r="M40" s="76"/>
      <c r="N40" s="72"/>
      <c r="O40" s="73"/>
      <c r="P40" s="73"/>
      <c r="Q40" s="73"/>
      <c r="R40" s="73"/>
      <c r="S40" s="73"/>
      <c r="T40" s="73"/>
    </row>
    <row r="41" spans="1:20" s="66" customFormat="1" ht="16.5">
      <c r="A41" s="72" t="s">
        <v>1184</v>
      </c>
      <c r="D41" s="72"/>
      <c r="E41" s="68"/>
      <c r="F41" s="68"/>
      <c r="G41" s="73"/>
      <c r="H41" s="73"/>
      <c r="I41" s="73"/>
      <c r="J41" s="74"/>
      <c r="K41" s="75"/>
      <c r="L41" s="73"/>
      <c r="M41" s="76"/>
      <c r="N41" s="72"/>
      <c r="O41" s="73"/>
      <c r="P41" s="73"/>
      <c r="Q41" s="73"/>
      <c r="R41" s="73"/>
      <c r="S41" s="73"/>
      <c r="T41" s="73"/>
    </row>
    <row r="42" spans="1:20" s="66" customFormat="1" ht="16.5">
      <c r="D42" s="72"/>
      <c r="E42" s="68"/>
      <c r="F42" s="68"/>
      <c r="G42" s="73"/>
      <c r="H42" s="73"/>
      <c r="I42" s="73"/>
      <c r="J42" s="74"/>
      <c r="K42" s="75"/>
      <c r="L42" s="73"/>
      <c r="M42" s="76"/>
      <c r="N42" s="72"/>
      <c r="O42" s="73"/>
      <c r="P42" s="73"/>
      <c r="Q42" s="73"/>
      <c r="R42" s="73"/>
      <c r="S42" s="73"/>
      <c r="T42" s="73"/>
    </row>
    <row r="43" spans="1:20" ht="16.5">
      <c r="A43" s="72" t="s">
        <v>1352</v>
      </c>
      <c r="B43" s="66"/>
      <c r="C43" s="72"/>
      <c r="D43" s="72"/>
      <c r="E43" s="68"/>
      <c r="F43" s="68"/>
      <c r="G43" s="67"/>
      <c r="H43" s="67"/>
      <c r="I43" s="67"/>
      <c r="J43" s="69"/>
      <c r="K43" s="70"/>
      <c r="L43" s="67"/>
      <c r="M43" s="71"/>
      <c r="N43" s="66"/>
      <c r="O43" s="67"/>
      <c r="P43" s="67"/>
      <c r="Q43" s="67"/>
      <c r="R43" s="67"/>
      <c r="S43" s="67"/>
      <c r="T43" s="67"/>
    </row>
    <row r="44" spans="1:20" ht="16.5">
      <c r="A44" s="284" t="s">
        <v>1512</v>
      </c>
      <c r="B44" s="72"/>
      <c r="C44" s="72"/>
      <c r="D44" s="66"/>
      <c r="E44" s="68"/>
      <c r="F44" s="68"/>
      <c r="G44" s="67"/>
      <c r="H44" s="67"/>
      <c r="I44" s="67"/>
      <c r="J44" s="69"/>
      <c r="K44" s="70"/>
      <c r="L44" s="67"/>
      <c r="M44" s="71"/>
      <c r="N44" s="66"/>
      <c r="O44" s="67"/>
      <c r="P44" s="67"/>
      <c r="Q44" s="67"/>
      <c r="R44" s="67"/>
      <c r="S44" s="67"/>
      <c r="T44" s="67"/>
    </row>
    <row r="45" spans="1:20" ht="16.5">
      <c r="A45" s="269"/>
      <c r="B45" s="72"/>
      <c r="C45" s="66"/>
      <c r="D45" s="66"/>
      <c r="E45" s="68"/>
      <c r="F45" s="68"/>
      <c r="G45" s="67"/>
      <c r="H45" s="67"/>
      <c r="I45" s="67"/>
      <c r="J45" s="69"/>
      <c r="K45" s="70"/>
      <c r="L45" s="67"/>
      <c r="M45" s="71"/>
      <c r="N45" s="66"/>
      <c r="O45" s="67"/>
      <c r="P45" s="67"/>
      <c r="Q45" s="67"/>
      <c r="R45" s="67"/>
      <c r="S45" s="67"/>
      <c r="T45" s="67"/>
    </row>
    <row r="46" spans="1:20" ht="16.5">
      <c r="A46" s="66"/>
      <c r="B46" s="66"/>
    </row>
    <row r="47" spans="1:20" ht="16.5" hidden="1" customHeight="1"/>
    <row r="48" spans="1:20" ht="16.5" hidden="1" customHeight="1"/>
    <row r="49" ht="16.5"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16.5" hidden="1" customHeight="1"/>
    <row r="70" ht="16.5" hidden="1" customHeight="1"/>
    <row r="71" ht="16.5" hidden="1" customHeight="1"/>
    <row r="72" ht="16.5" hidden="1" customHeight="1"/>
    <row r="73" ht="16.5" hidden="1" customHeight="1"/>
    <row r="74" ht="16.5" hidden="1" customHeight="1"/>
    <row r="75" ht="16.5" hidden="1" customHeight="1"/>
    <row r="76" ht="16.5" hidden="1" customHeight="1"/>
    <row r="77" ht="16.5" hidden="1" customHeight="1"/>
    <row r="78" ht="16.5" hidden="1" customHeight="1"/>
    <row r="79" ht="16.5" hidden="1" customHeight="1"/>
    <row r="80" ht="16.5" hidden="1" customHeight="1"/>
    <row r="81" ht="16.5" hidden="1" customHeight="1"/>
    <row r="82" ht="16.5" hidden="1" customHeight="1"/>
    <row r="83" ht="16.5" hidden="1" customHeight="1"/>
    <row r="84" ht="16.5" hidden="1" customHeight="1"/>
    <row r="85" ht="16.5" hidden="1" customHeight="1"/>
    <row r="86" ht="16.5" hidden="1" customHeight="1"/>
    <row r="87" ht="16.5" hidden="1" customHeight="1"/>
    <row r="88" ht="16.5" hidden="1" customHeight="1"/>
    <row r="89" ht="16.5" hidden="1" customHeight="1"/>
    <row r="90" ht="16.5" hidden="1" customHeight="1"/>
    <row r="91" ht="16.5" hidden="1" customHeight="1"/>
    <row r="92" ht="16.5" hidden="1" customHeight="1"/>
    <row r="93" ht="16.5" hidden="1" customHeight="1"/>
    <row r="94" ht="16.5" hidden="1" customHeight="1"/>
    <row r="95" ht="16.5" hidden="1" customHeight="1"/>
    <row r="96" ht="16.5" hidden="1" customHeight="1"/>
    <row r="97" ht="16.5" hidden="1" customHeight="1"/>
    <row r="98" ht="16.5" hidden="1" customHeight="1"/>
    <row r="99" ht="16.5" hidden="1" customHeight="1"/>
    <row r="100" ht="16.5" hidden="1" customHeight="1"/>
    <row r="101" ht="16.5" hidden="1" customHeight="1"/>
    <row r="102" ht="16.5" hidden="1" customHeight="1"/>
    <row r="103" ht="16.5" hidden="1" customHeight="1"/>
    <row r="104" ht="16.5" hidden="1" customHeight="1"/>
    <row r="105" ht="16.5" hidden="1" customHeight="1"/>
    <row r="106" ht="16.5" hidden="1"/>
    <row r="107" ht="16.5" hidden="1"/>
    <row r="108" ht="16.5" hidden="1" customHeight="1"/>
    <row r="109" ht="16.5" hidden="1" customHeight="1"/>
    <row r="110" ht="16.5" hidden="1" customHeight="1"/>
    <row r="111" ht="16.5" hidden="1" customHeight="1"/>
    <row r="112" ht="16.5" hidden="1" customHeight="1"/>
    <row r="113" ht="16.5" hidden="1" customHeight="1"/>
    <row r="114" ht="16.5" hidden="1" customHeight="1"/>
    <row r="115" ht="16.5" hidden="1" customHeight="1"/>
    <row r="116" ht="16.5" hidden="1" customHeight="1"/>
    <row r="117" ht="16.5" hidden="1" customHeight="1"/>
    <row r="118" ht="16.5" hidden="1" customHeight="1"/>
    <row r="119" ht="16.5" hidden="1" customHeight="1"/>
    <row r="120" ht="16.5" hidden="1" customHeight="1"/>
    <row r="121" ht="16.5" hidden="1" customHeight="1"/>
  </sheetData>
  <mergeCells count="1">
    <mergeCell ref="J1:K1"/>
  </mergeCells>
  <phoneticPr fontId="2" type="noConversion"/>
  <conditionalFormatting sqref="J2:K38">
    <cfRule type="cellIs" dxfId="21" priority="25" operator="equal">
      <formula>"/"</formula>
    </cfRule>
    <cfRule type="cellIs" dxfId="20" priority="26" operator="lessThan">
      <formula>0</formula>
    </cfRule>
    <cfRule type="cellIs" dxfId="19" priority="27" operator="greaterThan">
      <formula>0</formula>
    </cfRule>
  </conditionalFormatting>
  <conditionalFormatting sqref="G2:G38">
    <cfRule type="expression" dxfId="18" priority="24">
      <formula>OR($J$1="差距(Median)",$J$1="差距(UQ)")</formula>
    </cfRule>
  </conditionalFormatting>
  <conditionalFormatting sqref="H2:H23 H25:H38">
    <cfRule type="expression" dxfId="17" priority="23">
      <formula>$J$1="差距(LQ)"</formula>
    </cfRule>
  </conditionalFormatting>
  <conditionalFormatting sqref="N2:N38">
    <cfRule type="cellIs" dxfId="16" priority="20" operator="equal">
      <formula>2</formula>
    </cfRule>
    <cfRule type="cellIs" dxfId="15" priority="21" operator="equal">
      <formula>1</formula>
    </cfRule>
    <cfRule type="cellIs" dxfId="14" priority="22" operator="equal">
      <formula>0</formula>
    </cfRule>
  </conditionalFormatting>
  <conditionalFormatting sqref="L2:L23 L25:L38">
    <cfRule type="cellIs" dxfId="13" priority="19" operator="lessThan">
      <formula>30</formula>
    </cfRule>
  </conditionalFormatting>
  <conditionalFormatting sqref="L24">
    <cfRule type="cellIs" dxfId="12" priority="13" operator="lessThan">
      <formula>30</formula>
    </cfRule>
  </conditionalFormatting>
  <conditionalFormatting sqref="H24">
    <cfRule type="expression" dxfId="11" priority="17">
      <formula>$J$1="差距(LQ)"</formula>
    </cfRule>
  </conditionalFormatting>
  <conditionalFormatting sqref="F2:F38">
    <cfRule type="expression" dxfId="10" priority="1">
      <formula>$J$1="差距(UQ)"</formula>
    </cfRule>
  </conditionalFormatting>
  <hyperlinks>
    <hyperlink ref="A44" r:id="rId1" xr:uid="{CCBD7F1F-A5E2-4835-AC41-33AD50F28FD7}"/>
  </hyperlinks>
  <pageMargins left="0.7" right="0.7" top="0.75" bottom="0.75" header="0.3" footer="0.3"/>
  <legacyDrawing r:id="rId2"/>
  <extLst>
    <ext xmlns:x14="http://schemas.microsoft.com/office/spreadsheetml/2009/9/main" uri="{78C0D931-6437-407d-A8EE-F0AAD7539E65}">
      <x14:conditionalFormattings>
        <x14:conditionalFormatting xmlns:xm="http://schemas.microsoft.com/office/excel/2006/main">
          <x14:cfRule type="cellIs" priority="9" operator="greaterThan" id="{507DDA14-E829-48F2-8498-D5A83CAC48D7}">
            <xm:f>計分版!$C$13</xm:f>
            <x14:dxf>
              <font>
                <color rgb="FF9C0006"/>
              </font>
              <fill>
                <patternFill>
                  <bgColor rgb="FFFFC7CE"/>
                </patternFill>
              </fill>
            </x14:dxf>
          </x14:cfRule>
          <x14:cfRule type="cellIs" priority="10" operator="lessThan" id="{5887D96F-65BE-4A8B-BC7A-9088BAD9811D}">
            <xm:f>計分版!$C$13</xm:f>
            <x14:dxf>
              <font>
                <color rgb="FF006100"/>
              </font>
              <fill>
                <patternFill>
                  <bgColor rgb="FFC6EFCE"/>
                </patternFill>
              </fill>
            </x14:dxf>
          </x14:cfRule>
          <xm:sqref>P2:P38</xm:sqref>
        </x14:conditionalFormatting>
        <x14:conditionalFormatting xmlns:xm="http://schemas.microsoft.com/office/excel/2006/main">
          <x14:cfRule type="cellIs" priority="7" operator="greaterThan" id="{9DA08E58-6CE9-433F-BBC4-5D85D52E8E93}">
            <xm:f>計分版!$D$13</xm:f>
            <x14:dxf>
              <font>
                <color rgb="FF9C0006"/>
              </font>
              <fill>
                <patternFill>
                  <bgColor rgb="FFFFC7CE"/>
                </patternFill>
              </fill>
            </x14:dxf>
          </x14:cfRule>
          <x14:cfRule type="cellIs" priority="8" operator="lessThan" id="{413139A9-0247-4897-85C0-4BA6D996C488}">
            <xm:f>計分版!$D$13</xm:f>
            <x14:dxf>
              <font>
                <color rgb="FF006100"/>
              </font>
              <fill>
                <patternFill>
                  <bgColor rgb="FFC6EFCE"/>
                </patternFill>
              </fill>
            </x14:dxf>
          </x14:cfRule>
          <xm:sqref>Q2:Q38</xm:sqref>
        </x14:conditionalFormatting>
        <x14:conditionalFormatting xmlns:xm="http://schemas.microsoft.com/office/excel/2006/main">
          <x14:cfRule type="cellIs" priority="5" operator="lessThan" id="{103A78C5-F991-428C-8D03-E2A235A8E787}">
            <xm:f>計分版!$E$13</xm:f>
            <x14:dxf>
              <font>
                <color rgb="FF006100"/>
              </font>
              <fill>
                <patternFill>
                  <bgColor rgb="FFC6EFCE"/>
                </patternFill>
              </fill>
            </x14:dxf>
          </x14:cfRule>
          <x14:cfRule type="cellIs" priority="6" operator="greaterThan" id="{648DB6E3-D77B-4C16-BF7A-2028BA131543}">
            <xm:f>計分版!$E$13</xm:f>
            <x14:dxf>
              <font>
                <color rgb="FF9C0006"/>
              </font>
              <fill>
                <patternFill>
                  <bgColor rgb="FFFFC7CE"/>
                </patternFill>
              </fill>
            </x14:dxf>
          </x14:cfRule>
          <xm:sqref>R2:R38</xm:sqref>
        </x14:conditionalFormatting>
        <x14:conditionalFormatting xmlns:xm="http://schemas.microsoft.com/office/excel/2006/main">
          <x14:cfRule type="cellIs" priority="3" operator="lessThan" id="{473E9370-318C-4F92-89B4-772653CB71D2}">
            <xm:f>計分版!$F$13</xm:f>
            <x14:dxf>
              <font>
                <color rgb="FF006100"/>
              </font>
              <fill>
                <patternFill>
                  <bgColor rgb="FFC6EFCE"/>
                </patternFill>
              </fill>
            </x14:dxf>
          </x14:cfRule>
          <x14:cfRule type="cellIs" priority="4" operator="greaterThan" id="{95DEFE7C-CEC7-4E51-916D-D583E75117DE}">
            <xm:f>計分版!$F$13</xm:f>
            <x14:dxf>
              <font>
                <color rgb="FF9C0006"/>
              </font>
              <fill>
                <patternFill>
                  <bgColor rgb="FFFFC7CE"/>
                </patternFill>
              </fill>
            </x14:dxf>
          </x14:cfRule>
          <xm:sqref>S2:S38</xm:sqref>
        </x14:conditionalFormatting>
        <x14:conditionalFormatting xmlns:xm="http://schemas.microsoft.com/office/excel/2006/main">
          <x14:cfRule type="cellIs" priority="2" operator="greaterThan" id="{D60E64B2-E6AE-4778-9970-D021522FACA7}">
            <xm:f>LARGE(計分版!$G$13:$L$13,1)</xm:f>
            <x14:dxf>
              <font>
                <color rgb="FF9C0006"/>
              </font>
              <fill>
                <patternFill>
                  <bgColor rgb="FFFFC7CE"/>
                </patternFill>
              </fill>
            </x14:dxf>
          </x14:cfRule>
          <x14:cfRule type="cellIs" priority="12" operator="lessThan" id="{228E1330-316D-4C0C-84CC-7B08EFAB9FF8}">
            <xm:f>LARGE(計分版!$G$13:$L$13,1)</xm:f>
            <x14:dxf>
              <font>
                <color rgb="FF006100"/>
              </font>
              <fill>
                <patternFill>
                  <bgColor rgb="FFC6EFCE"/>
                </patternFill>
              </fill>
            </x14:dxf>
          </x14:cfRule>
          <xm:sqref>T2:T38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F066E18-E362-4DAD-92B4-A1548C5FE830}">
          <x14:formula1>
            <xm:f>選單!$I$1:$I$3</xm:f>
          </x14:formula1>
          <xm:sqref>J1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5CB2-3724-4101-BCAD-CE159394A83B}">
  <dimension ref="A1:I45"/>
  <sheetViews>
    <sheetView workbookViewId="0">
      <selection activeCell="E4" sqref="E4"/>
    </sheetView>
  </sheetViews>
  <sheetFormatPr defaultRowHeight="16.5"/>
  <cols>
    <col min="1" max="1" width="12" customWidth="1"/>
    <col min="2" max="4" width="18.125" customWidth="1"/>
    <col min="5" max="5" width="15.125" customWidth="1"/>
    <col min="6" max="6" width="14.125" customWidth="1"/>
    <col min="7" max="7" width="12.875" customWidth="1"/>
    <col min="9" max="9" width="15.875" customWidth="1"/>
  </cols>
  <sheetData>
    <row r="1" spans="1:9">
      <c r="A1" s="2" t="s">
        <v>29</v>
      </c>
      <c r="B1" s="1" t="s">
        <v>73</v>
      </c>
      <c r="C1" s="1" t="s">
        <v>74</v>
      </c>
      <c r="D1" s="1" t="s">
        <v>75</v>
      </c>
      <c r="E1" s="1" t="s">
        <v>27</v>
      </c>
      <c r="F1" s="1" t="s">
        <v>28</v>
      </c>
      <c r="G1" s="2" t="s">
        <v>76</v>
      </c>
      <c r="H1" s="1" t="s">
        <v>30</v>
      </c>
      <c r="I1" s="1" t="s">
        <v>398</v>
      </c>
    </row>
    <row r="2" spans="1:9">
      <c r="A2" s="2" t="s">
        <v>67</v>
      </c>
      <c r="B2" s="1" t="s">
        <v>69</v>
      </c>
      <c r="C2" s="1" t="s">
        <v>70</v>
      </c>
      <c r="D2" s="1" t="s">
        <v>71</v>
      </c>
      <c r="E2" s="1" t="s">
        <v>72</v>
      </c>
      <c r="F2" s="1" t="s">
        <v>68</v>
      </c>
      <c r="G2" s="2" t="s">
        <v>67</v>
      </c>
      <c r="H2" s="1" t="s">
        <v>65</v>
      </c>
      <c r="I2" s="1" t="s">
        <v>397</v>
      </c>
    </row>
    <row r="3" spans="1:9">
      <c r="A3" s="2" t="s">
        <v>32</v>
      </c>
      <c r="B3" s="1" t="s">
        <v>14</v>
      </c>
      <c r="C3" s="1" t="s">
        <v>14</v>
      </c>
      <c r="D3" s="1" t="s">
        <v>14</v>
      </c>
      <c r="E3" s="1" t="s">
        <v>1533</v>
      </c>
      <c r="F3" s="1" t="s">
        <v>31</v>
      </c>
      <c r="G3" s="2" t="s">
        <v>33</v>
      </c>
      <c r="H3" s="1" t="s">
        <v>34</v>
      </c>
      <c r="I3" s="1" t="s">
        <v>399</v>
      </c>
    </row>
    <row r="4" spans="1:9">
      <c r="A4" s="2" t="s">
        <v>36</v>
      </c>
      <c r="B4" s="1" t="s">
        <v>11</v>
      </c>
      <c r="C4" s="1" t="s">
        <v>11</v>
      </c>
      <c r="D4" s="1" t="s">
        <v>11</v>
      </c>
      <c r="E4" s="1" t="s">
        <v>25</v>
      </c>
      <c r="F4" s="1" t="s">
        <v>35</v>
      </c>
      <c r="G4" s="2" t="s">
        <v>37</v>
      </c>
      <c r="H4" s="1" t="s">
        <v>38</v>
      </c>
    </row>
    <row r="5" spans="1:9">
      <c r="A5" s="2">
        <v>5</v>
      </c>
      <c r="B5" s="1" t="s">
        <v>8</v>
      </c>
      <c r="C5" s="1" t="s">
        <v>8</v>
      </c>
      <c r="D5" s="1" t="s">
        <v>8</v>
      </c>
      <c r="E5" s="1" t="s">
        <v>23</v>
      </c>
      <c r="F5" s="1" t="s">
        <v>39</v>
      </c>
      <c r="G5" s="2" t="s">
        <v>40</v>
      </c>
      <c r="H5" s="1" t="s">
        <v>41</v>
      </c>
    </row>
    <row r="6" spans="1:9">
      <c r="A6" s="2">
        <v>4</v>
      </c>
      <c r="B6" s="1" t="s">
        <v>16</v>
      </c>
      <c r="C6" s="1" t="s">
        <v>16</v>
      </c>
      <c r="D6" s="1" t="s">
        <v>16</v>
      </c>
      <c r="E6" s="1" t="s">
        <v>18</v>
      </c>
      <c r="F6" s="1" t="s">
        <v>42</v>
      </c>
      <c r="G6" s="2" t="s">
        <v>43</v>
      </c>
      <c r="H6" s="1" t="s">
        <v>44</v>
      </c>
    </row>
    <row r="7" spans="1:9">
      <c r="A7" s="2">
        <v>3</v>
      </c>
      <c r="B7" s="1" t="s">
        <v>20</v>
      </c>
      <c r="C7" s="1" t="s">
        <v>20</v>
      </c>
      <c r="D7" s="1" t="s">
        <v>20</v>
      </c>
      <c r="E7" s="1"/>
      <c r="F7" s="1" t="s">
        <v>45</v>
      </c>
      <c r="G7" s="2" t="s">
        <v>46</v>
      </c>
      <c r="H7" s="1" t="s">
        <v>47</v>
      </c>
    </row>
    <row r="8" spans="1:9">
      <c r="A8" s="2">
        <v>2</v>
      </c>
      <c r="B8" s="1" t="s">
        <v>21</v>
      </c>
      <c r="C8" s="1" t="s">
        <v>21</v>
      </c>
      <c r="D8" s="1" t="s">
        <v>21</v>
      </c>
      <c r="E8" s="1"/>
      <c r="F8" s="1" t="s">
        <v>48</v>
      </c>
      <c r="G8" s="2" t="s">
        <v>49</v>
      </c>
      <c r="H8" s="1" t="s">
        <v>50</v>
      </c>
    </row>
    <row r="9" spans="1:9">
      <c r="A9" s="2">
        <v>1</v>
      </c>
      <c r="B9" s="1" t="s">
        <v>25</v>
      </c>
      <c r="C9" s="1" t="s">
        <v>25</v>
      </c>
      <c r="D9" s="1" t="s">
        <v>25</v>
      </c>
      <c r="E9" s="1"/>
      <c r="F9" s="1"/>
      <c r="G9" s="1"/>
      <c r="H9" s="1" t="s">
        <v>51</v>
      </c>
    </row>
    <row r="10" spans="1:9">
      <c r="A10" s="2" t="s">
        <v>49</v>
      </c>
      <c r="B10" s="1" t="s">
        <v>22</v>
      </c>
      <c r="C10" s="1" t="s">
        <v>22</v>
      </c>
      <c r="D10" s="1" t="s">
        <v>22</v>
      </c>
      <c r="E10" s="1"/>
      <c r="F10" s="1"/>
      <c r="G10" s="1"/>
      <c r="H10" s="1" t="s">
        <v>52</v>
      </c>
    </row>
    <row r="11" spans="1:9">
      <c r="A11" s="1"/>
      <c r="B11" s="1" t="s">
        <v>13</v>
      </c>
      <c r="C11" s="1" t="s">
        <v>13</v>
      </c>
      <c r="D11" s="1" t="s">
        <v>13</v>
      </c>
      <c r="E11" s="1"/>
      <c r="F11" s="1"/>
      <c r="G11" s="1"/>
      <c r="H11" s="1" t="s">
        <v>53</v>
      </c>
    </row>
    <row r="12" spans="1:9">
      <c r="A12" s="1"/>
      <c r="B12" s="1" t="s">
        <v>23</v>
      </c>
      <c r="C12" s="1" t="s">
        <v>23</v>
      </c>
      <c r="D12" s="1" t="s">
        <v>23</v>
      </c>
      <c r="E12" s="1"/>
      <c r="F12" s="1"/>
      <c r="G12" s="1"/>
      <c r="H12" s="1" t="s">
        <v>54</v>
      </c>
    </row>
    <row r="13" spans="1:9">
      <c r="A13" s="1"/>
      <c r="B13" s="1" t="s">
        <v>26</v>
      </c>
      <c r="C13" s="1" t="s">
        <v>26</v>
      </c>
      <c r="D13" s="1" t="s">
        <v>26</v>
      </c>
      <c r="E13" s="1"/>
      <c r="F13" s="1"/>
      <c r="G13" s="1"/>
      <c r="H13" s="1" t="s">
        <v>55</v>
      </c>
    </row>
    <row r="14" spans="1:9">
      <c r="A14" s="1"/>
      <c r="B14" s="1" t="s">
        <v>77</v>
      </c>
      <c r="C14" s="1" t="s">
        <v>77</v>
      </c>
      <c r="D14" s="1" t="s">
        <v>77</v>
      </c>
      <c r="E14" s="1"/>
      <c r="F14" s="1"/>
      <c r="G14" s="1"/>
      <c r="H14" s="1" t="s">
        <v>56</v>
      </c>
    </row>
    <row r="15" spans="1:9">
      <c r="A15" s="1"/>
      <c r="B15" s="1" t="s">
        <v>78</v>
      </c>
      <c r="C15" s="1" t="s">
        <v>78</v>
      </c>
      <c r="D15" s="1" t="s">
        <v>78</v>
      </c>
      <c r="E15" s="1"/>
      <c r="F15" s="1"/>
      <c r="G15" s="1"/>
      <c r="H15" s="1" t="s">
        <v>57</v>
      </c>
    </row>
    <row r="16" spans="1:9">
      <c r="A16" s="1"/>
      <c r="B16" s="1" t="s">
        <v>79</v>
      </c>
      <c r="C16" s="1" t="s">
        <v>79</v>
      </c>
      <c r="D16" s="1" t="s">
        <v>79</v>
      </c>
      <c r="E16" s="1"/>
      <c r="F16" s="1"/>
      <c r="G16" s="1"/>
      <c r="H16" s="1" t="s">
        <v>58</v>
      </c>
    </row>
    <row r="17" spans="1:8">
      <c r="A17" s="1"/>
      <c r="B17" s="1" t="s">
        <v>7</v>
      </c>
      <c r="C17" s="1" t="s">
        <v>7</v>
      </c>
      <c r="D17" s="1" t="s">
        <v>7</v>
      </c>
      <c r="E17" s="1"/>
      <c r="F17" s="1"/>
      <c r="G17" s="1"/>
      <c r="H17" s="1" t="s">
        <v>59</v>
      </c>
    </row>
    <row r="18" spans="1:8">
      <c r="A18" s="1"/>
      <c r="B18" s="1" t="s">
        <v>10</v>
      </c>
      <c r="C18" s="1" t="s">
        <v>10</v>
      </c>
      <c r="D18" s="1" t="s">
        <v>847</v>
      </c>
      <c r="E18" s="1"/>
      <c r="F18" s="1"/>
      <c r="G18" s="1"/>
      <c r="H18" s="1" t="s">
        <v>60</v>
      </c>
    </row>
    <row r="19" spans="1:8">
      <c r="A19" s="1"/>
      <c r="B19" s="1" t="s">
        <v>24</v>
      </c>
      <c r="C19" s="1" t="s">
        <v>24</v>
      </c>
      <c r="D19" s="1" t="s">
        <v>24</v>
      </c>
      <c r="E19" s="1"/>
      <c r="F19" s="1"/>
      <c r="G19" s="1"/>
      <c r="H19" s="1" t="s">
        <v>61</v>
      </c>
    </row>
    <row r="20" spans="1:8">
      <c r="A20" s="1"/>
      <c r="B20" s="1" t="s">
        <v>18</v>
      </c>
      <c r="C20" s="1" t="s">
        <v>18</v>
      </c>
      <c r="D20" s="1" t="s">
        <v>18</v>
      </c>
      <c r="E20" s="1"/>
      <c r="F20" s="1"/>
      <c r="G20" s="1"/>
      <c r="H20" s="1" t="s">
        <v>62</v>
      </c>
    </row>
    <row r="21" spans="1:8">
      <c r="A21" s="1"/>
      <c r="B21" s="1" t="s">
        <v>19</v>
      </c>
      <c r="C21" s="1" t="s">
        <v>19</v>
      </c>
      <c r="D21" s="1" t="s">
        <v>413</v>
      </c>
      <c r="E21" s="1"/>
      <c r="F21" s="1"/>
      <c r="G21" s="1"/>
      <c r="H21" s="1" t="s">
        <v>63</v>
      </c>
    </row>
    <row r="22" spans="1:8">
      <c r="A22" s="1"/>
      <c r="B22" s="1" t="s">
        <v>17</v>
      </c>
      <c r="C22" s="1" t="s">
        <v>411</v>
      </c>
      <c r="D22" s="1" t="s">
        <v>17</v>
      </c>
      <c r="E22" s="1"/>
      <c r="F22" s="1"/>
      <c r="G22" s="1"/>
      <c r="H22" s="1" t="s">
        <v>64</v>
      </c>
    </row>
    <row r="23" spans="1:8">
      <c r="A23" s="1"/>
      <c r="B23" s="1" t="s">
        <v>412</v>
      </c>
      <c r="C23" s="1" t="s">
        <v>12</v>
      </c>
      <c r="D23" s="1" t="s">
        <v>412</v>
      </c>
      <c r="E23" s="1"/>
      <c r="F23" s="1"/>
      <c r="G23" s="1"/>
    </row>
    <row r="24" spans="1:8">
      <c r="B24" s="1" t="s">
        <v>15</v>
      </c>
      <c r="C24" s="1" t="s">
        <v>15</v>
      </c>
      <c r="D24" s="1" t="s">
        <v>15</v>
      </c>
    </row>
    <row r="25" spans="1:8">
      <c r="B25" s="1" t="s">
        <v>221</v>
      </c>
      <c r="C25" s="1" t="s">
        <v>9</v>
      </c>
      <c r="D25" s="1" t="s">
        <v>221</v>
      </c>
    </row>
    <row r="26" spans="1:8">
      <c r="B26" s="1"/>
      <c r="C26" s="1"/>
      <c r="D26" s="1"/>
    </row>
    <row r="45" spans="8:8">
      <c r="H45" s="1"/>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39083-FAB7-43D5-9F04-03F23DDC01D7}">
  <dimension ref="A1:Z406"/>
  <sheetViews>
    <sheetView topLeftCell="A370" zoomScale="85" zoomScaleNormal="85" workbookViewId="0">
      <selection activeCell="F388" sqref="F388"/>
    </sheetView>
  </sheetViews>
  <sheetFormatPr defaultColWidth="8.875" defaultRowHeight="15.75"/>
  <cols>
    <col min="1" max="2" width="9.75" style="43" customWidth="1"/>
    <col min="3" max="3" width="10.375" style="43" customWidth="1"/>
    <col min="4" max="4" width="11.125" style="162" customWidth="1"/>
    <col min="5" max="5" width="9.5" style="43" bestFit="1" customWidth="1"/>
    <col min="6" max="6" width="10" style="43" customWidth="1"/>
    <col min="7" max="7" width="10.25" style="43" customWidth="1"/>
    <col min="8" max="8" width="10.125" style="43" customWidth="1"/>
    <col min="9" max="9" width="11.25" style="43" customWidth="1"/>
    <col min="10" max="10" width="8.75" style="43" customWidth="1"/>
    <col min="11" max="11" width="8.875" style="43" customWidth="1"/>
    <col min="12" max="12" width="7.75" style="43" customWidth="1"/>
    <col min="13" max="13" width="7.25" style="51" customWidth="1"/>
    <col min="14" max="14" width="8.25" style="51" customWidth="1"/>
    <col min="15" max="15" width="8.25" style="43" customWidth="1"/>
    <col min="16" max="16" width="10.125" style="43" customWidth="1"/>
    <col min="17" max="17" width="10.625" style="43" customWidth="1"/>
    <col min="18" max="18" width="7" style="43" customWidth="1"/>
    <col min="19" max="19" width="8.375" style="43" customWidth="1"/>
    <col min="20" max="20" width="7.875" style="43" customWidth="1"/>
    <col min="21" max="21" width="6.125" style="43" customWidth="1"/>
    <col min="22" max="22" width="9.25" style="43" customWidth="1"/>
    <col min="23" max="24" width="8.75" style="43" customWidth="1"/>
    <col min="25" max="25" width="9.5" style="43" customWidth="1"/>
    <col min="26" max="26" width="16.875" style="43" bestFit="1" customWidth="1"/>
    <col min="27" max="16384" width="8.875" style="43"/>
  </cols>
  <sheetData>
    <row r="1" spans="1:17">
      <c r="A1" s="43" t="b">
        <v>1</v>
      </c>
      <c r="D1" s="220"/>
      <c r="F1" s="222"/>
      <c r="K1" s="221"/>
    </row>
    <row r="3" spans="1:17">
      <c r="N3" s="43"/>
      <c r="O3" s="162" t="s">
        <v>1153</v>
      </c>
      <c r="P3" s="43" t="s">
        <v>1154</v>
      </c>
      <c r="Q3" s="43" t="s">
        <v>1155</v>
      </c>
    </row>
    <row r="4" spans="1:17">
      <c r="B4" s="43" t="s">
        <v>403</v>
      </c>
      <c r="C4" s="162" t="s">
        <v>1156</v>
      </c>
      <c r="D4" s="43" t="s">
        <v>1157</v>
      </c>
      <c r="F4" s="43" t="s">
        <v>403</v>
      </c>
      <c r="G4" s="162" t="s">
        <v>1156</v>
      </c>
      <c r="H4" s="43" t="s">
        <v>1157</v>
      </c>
      <c r="M4" s="43" t="s">
        <v>1166</v>
      </c>
      <c r="N4" s="51" t="s">
        <v>843</v>
      </c>
      <c r="O4" s="43">
        <f t="shared" ref="O4:O11" si="0">IF(ISNUMBER(SEARCH(M4,$B$4)), 1, 0)</f>
        <v>0</v>
      </c>
      <c r="P4" s="43">
        <f>IF(ISNUMBER(SEARCH(M4,#REF!)), 1, 0)</f>
        <v>0</v>
      </c>
      <c r="Q4" s="43">
        <f t="shared" ref="Q4:Q11" si="1">IF(ISNUMBER(SEARCH(M4,$B$7)), 1, 0)</f>
        <v>0</v>
      </c>
    </row>
    <row r="5" spans="1:17">
      <c r="A5" s="43" t="s">
        <v>1153</v>
      </c>
      <c r="B5" s="43" t="str">
        <f>IFERROR(主頁!M15-主頁!J15,"")</f>
        <v/>
      </c>
      <c r="C5" s="162" t="str">
        <f>IFERROR(主頁!M15-主頁!K15,"")</f>
        <v/>
      </c>
      <c r="D5" s="43" t="str">
        <f>IFERROR(主頁!M15-主頁!L15,"")</f>
        <v/>
      </c>
      <c r="F5" s="301" t="str">
        <f>IFERROR((主頁!$M$15-主頁!J15)/主頁!M15,"")</f>
        <v/>
      </c>
      <c r="G5" s="301" t="str">
        <f>IFERROR((主頁!$M$15-主頁!K15)/主頁!$M$15,"")</f>
        <v/>
      </c>
      <c r="H5" s="301" t="str">
        <f>IFERROR((主頁!$M$15-主頁!L15)/主頁!$M$15,"")</f>
        <v/>
      </c>
      <c r="M5" s="43" t="s">
        <v>1167</v>
      </c>
      <c r="N5" s="51" t="s">
        <v>1136</v>
      </c>
      <c r="O5" s="43">
        <f t="shared" si="0"/>
        <v>0</v>
      </c>
      <c r="P5" s="43">
        <f>IF(ISNUMBER(SEARCH(M5,#REF!)), 1, 0)</f>
        <v>0</v>
      </c>
      <c r="Q5" s="43">
        <f t="shared" si="1"/>
        <v>0</v>
      </c>
    </row>
    <row r="6" spans="1:17">
      <c r="C6" s="162"/>
      <c r="D6" s="43"/>
      <c r="F6" s="301"/>
      <c r="G6" s="301"/>
      <c r="H6" s="301"/>
      <c r="M6" s="43" t="s">
        <v>1168</v>
      </c>
      <c r="N6" s="51" t="s">
        <v>608</v>
      </c>
      <c r="O6" s="43">
        <f t="shared" si="0"/>
        <v>0</v>
      </c>
      <c r="P6" s="43">
        <f>IF(ISNUMBER(SEARCH(M6,#REF!)), 1, 0)</f>
        <v>0</v>
      </c>
      <c r="Q6" s="43">
        <f t="shared" si="1"/>
        <v>0</v>
      </c>
    </row>
    <row r="7" spans="1:17">
      <c r="A7" s="43" t="s">
        <v>1154</v>
      </c>
      <c r="B7" s="43" t="str">
        <f>IFERROR(主頁!M17-主頁!J17,"")</f>
        <v/>
      </c>
      <c r="C7" s="162" t="str">
        <f>IFERROR(主頁!M17-主頁!K17,"")</f>
        <v/>
      </c>
      <c r="D7" s="43" t="str">
        <f>IFERROR(主頁!M17-主頁!L17,"")</f>
        <v/>
      </c>
      <c r="F7" s="301" t="str">
        <f>IFERROR((主頁!$M$17-主頁!J17)/主頁!$M$17,"")</f>
        <v/>
      </c>
      <c r="G7" s="301" t="str">
        <f>IFERROR((主頁!$M$17-主頁!K17)/主頁!$M$17,"")</f>
        <v/>
      </c>
      <c r="H7" s="301" t="str">
        <f>IFERROR((主頁!$M$17-主頁!L17)/主頁!$M$17,"")</f>
        <v/>
      </c>
      <c r="M7" s="43" t="s">
        <v>1169</v>
      </c>
      <c r="N7" s="51" t="s">
        <v>218</v>
      </c>
      <c r="O7" s="43">
        <f t="shared" si="0"/>
        <v>0</v>
      </c>
      <c r="P7" s="43">
        <f>IF(ISNUMBER(SEARCH(M7,#REF!)), 1, 0)</f>
        <v>0</v>
      </c>
      <c r="Q7" s="43">
        <f t="shared" si="1"/>
        <v>0</v>
      </c>
    </row>
    <row r="8" spans="1:17">
      <c r="C8" s="162"/>
      <c r="D8" s="43"/>
      <c r="F8" s="301"/>
      <c r="G8" s="301"/>
      <c r="H8" s="301"/>
      <c r="M8" s="43" t="s">
        <v>1170</v>
      </c>
      <c r="N8" s="51" t="s">
        <v>687</v>
      </c>
      <c r="O8" s="43">
        <f t="shared" si="0"/>
        <v>0</v>
      </c>
      <c r="P8" s="43">
        <f>IF(ISNUMBER(SEARCH(M8,#REF!)), 1, 0)</f>
        <v>0</v>
      </c>
      <c r="Q8" s="43">
        <f t="shared" si="1"/>
        <v>0</v>
      </c>
    </row>
    <row r="9" spans="1:17">
      <c r="A9" s="43" t="s">
        <v>1155</v>
      </c>
      <c r="B9" s="43" t="str">
        <f>IFERROR(主頁!M19-主頁!J19,"")</f>
        <v/>
      </c>
      <c r="C9" s="162" t="str">
        <f>IFERROR(主頁!M19-主頁!K19,"")</f>
        <v/>
      </c>
      <c r="D9" s="43" t="str">
        <f>IFERROR(主頁!M19-主頁!L19,"")</f>
        <v/>
      </c>
      <c r="F9" s="301" t="str">
        <f>IFERROR((主頁!$M$19-主頁!J19)/主頁!$M$19,"")</f>
        <v/>
      </c>
      <c r="G9" s="301" t="str">
        <f>IFERROR((主頁!$M$19-主頁!K19)/主頁!$M$19,"")</f>
        <v/>
      </c>
      <c r="H9" s="301" t="str">
        <f>IFERROR((主頁!$M$19-主頁!L19)/主頁!$M$19,"")</f>
        <v/>
      </c>
      <c r="M9" s="43" t="s">
        <v>1165</v>
      </c>
      <c r="N9" s="51" t="s">
        <v>432</v>
      </c>
      <c r="O9" s="43">
        <f t="shared" si="0"/>
        <v>0</v>
      </c>
      <c r="P9" s="43">
        <f>IF(ISNUMBER(SEARCH(M9,#REF!)), 1, 0)</f>
        <v>0</v>
      </c>
      <c r="Q9" s="43">
        <f t="shared" si="1"/>
        <v>0</v>
      </c>
    </row>
    <row r="10" spans="1:17">
      <c r="M10" s="43" t="s">
        <v>1171</v>
      </c>
      <c r="N10" s="51" t="s">
        <v>1035</v>
      </c>
      <c r="O10" s="43">
        <f t="shared" si="0"/>
        <v>0</v>
      </c>
      <c r="P10" s="43">
        <f>IF(ISNUMBER(SEARCH(M10,#REF!)), 1, 0)</f>
        <v>0</v>
      </c>
      <c r="Q10" s="43">
        <f t="shared" si="1"/>
        <v>0</v>
      </c>
    </row>
    <row r="11" spans="1:17">
      <c r="M11" s="43" t="s">
        <v>1172</v>
      </c>
      <c r="N11" s="51" t="s">
        <v>1159</v>
      </c>
      <c r="O11" s="43">
        <f t="shared" si="0"/>
        <v>0</v>
      </c>
      <c r="P11" s="43">
        <f>IF(ISNUMBER(SEARCH(M11,#REF!)), 1, 0)</f>
        <v>0</v>
      </c>
      <c r="Q11" s="43">
        <f t="shared" si="1"/>
        <v>0</v>
      </c>
    </row>
    <row r="12" spans="1:17">
      <c r="M12" s="43"/>
    </row>
    <row r="15" spans="1:17">
      <c r="A15" s="43" t="s">
        <v>1164</v>
      </c>
      <c r="B15" s="43" t="s">
        <v>1161</v>
      </c>
      <c r="C15" s="162" t="s">
        <v>1162</v>
      </c>
      <c r="D15" s="43" t="s">
        <v>229</v>
      </c>
      <c r="E15" s="43" t="s">
        <v>326</v>
      </c>
      <c r="F15" s="43" t="s">
        <v>327</v>
      </c>
      <c r="G15" s="43" t="s">
        <v>328</v>
      </c>
      <c r="H15" s="43" t="s">
        <v>1180</v>
      </c>
      <c r="I15" s="43" t="s">
        <v>1163</v>
      </c>
      <c r="J15" s="43" t="s">
        <v>414</v>
      </c>
      <c r="M15" s="51" t="s">
        <v>1153</v>
      </c>
      <c r="N15" s="51" t="str">
        <f>IF(O15=1,INDEX(N$4:N$11,MATCH(LARGE(O4:O11,1),O4:O11,0)),"")</f>
        <v/>
      </c>
      <c r="O15" s="43">
        <f>LARGE((O4:O11),1)</f>
        <v>0</v>
      </c>
      <c r="P15" s="43">
        <f>IF(COUNTIF(A21:A332,$B$4), 1, 0)</f>
        <v>0</v>
      </c>
    </row>
    <row r="16" spans="1:17">
      <c r="A16" s="43">
        <f>主頁!F15</f>
        <v>0</v>
      </c>
      <c r="B16" s="43" t="str">
        <f t="shared" ref="B16:C16" si="2">IFERROR(INDEX(B21:B400,MATCH($A$16,$A$21:$A$400,0)),"")</f>
        <v/>
      </c>
      <c r="C16" s="43" t="str">
        <f t="shared" si="2"/>
        <v/>
      </c>
      <c r="D16" s="43" t="str">
        <f>IFERROR(INDEX(D21:D400,MATCH($A$16,$A$21:$A$400,0)),"")</f>
        <v/>
      </c>
      <c r="E16" s="43" t="str">
        <f>IFERROR(INDEX(E21:E400,MATCH($A$16,$A$21:$A$400,0)),"")</f>
        <v/>
      </c>
      <c r="F16" s="43" t="str">
        <f>IFERROR(INDEX(F21:F400,MATCH($A$16,$A$21:$A$400,0)),"")</f>
        <v/>
      </c>
      <c r="G16" s="43" t="str">
        <f>IFERROR(INDEX(G21:G400,MATCH($A$16,$A$21:$A$400,0)),"")</f>
        <v/>
      </c>
      <c r="H16" s="43" t="str">
        <f>IFERROR(INDEX(K21:K400,MATCH($A$16,$A$21:$A$400,0)),"")</f>
        <v/>
      </c>
      <c r="I16" s="43" t="str">
        <f>IFERROR(INDEX(H21:H400,MATCH($A$16,$A$21:$A$400,0)),"")</f>
        <v/>
      </c>
      <c r="J16" s="43" t="str">
        <f>IFERROR(INDEX(L21:L400,MATCH($A$16,$A$21:$A$400,0)),"")</f>
        <v/>
      </c>
      <c r="L16" s="40"/>
      <c r="M16" s="51" t="s">
        <v>1154</v>
      </c>
      <c r="N16" s="51" t="str">
        <f>IF(O16=1,INDEX(N$4:N$11,MATCH(LARGE(P4:P11,1),P4:P11,0)),"")</f>
        <v/>
      </c>
      <c r="O16" s="43">
        <f>LARGE((P4:P11),1)</f>
        <v>0</v>
      </c>
    </row>
    <row r="17" spans="1:26">
      <c r="A17" s="43">
        <f>主頁!F17</f>
        <v>0</v>
      </c>
      <c r="B17" s="43" t="str">
        <f t="shared" ref="B17:C17" si="3">IFERROR(INDEX(B21:B400,MATCH($A$17,$A$21:$A$400,0)),"")</f>
        <v/>
      </c>
      <c r="C17" s="43" t="str">
        <f t="shared" si="3"/>
        <v/>
      </c>
      <c r="D17" s="43" t="str">
        <f>IFERROR(INDEX(D21:D400,MATCH($A$17,$A$21:$A$400,0)),"")</f>
        <v/>
      </c>
      <c r="E17" s="43" t="str">
        <f>IFERROR(INDEX(E21:E400,MATCH($A$17,$A$21:$A$400,0)),"")</f>
        <v/>
      </c>
      <c r="F17" s="43" t="str">
        <f>IFERROR(INDEX(F21:F400,MATCH($A$17,$A$21:$A$400,0)),"")</f>
        <v/>
      </c>
      <c r="G17" s="43" t="str">
        <f>IFERROR(INDEX(G21:G400,MATCH($A$17,$A$21:$A$400,0)),"")</f>
        <v/>
      </c>
      <c r="H17" s="43" t="str">
        <f>IFERROR(INDEX(K21:K400,MATCH($A$17,$A$21:$A$400,0)),"")</f>
        <v/>
      </c>
      <c r="I17" s="43" t="str">
        <f>IFERROR(INDEX(H21:H400,MATCH($A$17,$A$21:$A$400,0)),"")</f>
        <v/>
      </c>
      <c r="J17" s="43" t="str">
        <f>IFERROR(INDEX(L21:L400,MATCH($A$17,$A$21:$A$400,0)),"")</f>
        <v/>
      </c>
      <c r="L17" s="40"/>
      <c r="M17" s="51" t="s">
        <v>1155</v>
      </c>
      <c r="N17" s="51" t="str">
        <f>IF(O17=1,INDEX(N$4:N$11,MATCH(LARGE(Q4:Q11,1),Q4:Q11,0)),"")</f>
        <v/>
      </c>
      <c r="O17" s="43">
        <f>LARGE((Q4:Q11),1)</f>
        <v>0</v>
      </c>
    </row>
    <row r="18" spans="1:26">
      <c r="A18" s="222">
        <f>主頁!F19</f>
        <v>0</v>
      </c>
      <c r="B18" s="222" t="str">
        <f t="shared" ref="B18:C18" si="4">IFERROR(INDEX(B21:B400,MATCH($A$18,$A$21:$A$400,0)),"")</f>
        <v/>
      </c>
      <c r="C18" s="222" t="str">
        <f t="shared" si="4"/>
        <v/>
      </c>
      <c r="D18" s="222" t="str">
        <f>IFERROR(INDEX(D21:D400,MATCH($A$18,$A$21:$A$400,0)),"")</f>
        <v/>
      </c>
      <c r="E18" s="222" t="str">
        <f>IFERROR(INDEX(E21:E400,MATCH($A$18,$A$21:$A$400,0)),"")</f>
        <v/>
      </c>
      <c r="F18" s="222" t="str">
        <f>IFERROR(INDEX(F21:F400,MATCH($A$18,$A$21:$A$400,0)),"")</f>
        <v/>
      </c>
      <c r="G18" s="222" t="str">
        <f>IFERROR(INDEX(G21:G400,MATCH($A$18,$A$21:$A$400,0)),"")</f>
        <v/>
      </c>
      <c r="H18" s="222" t="str">
        <f>IFERROR(INDEX(K21:K400,MATCH($A$18,$A$21:$A$400,0)),"")</f>
        <v/>
      </c>
      <c r="I18" s="222" t="str">
        <f>IFERROR(INDEX(H21:H400,MATCH($A$18,$A$21:$A$400,0)),"")</f>
        <v/>
      </c>
      <c r="J18" s="43" t="str">
        <f>IFERROR(INDEX(L21:L400,MATCH($A$18,$A$21:$A$400,0)),"")</f>
        <v/>
      </c>
    </row>
    <row r="19" spans="1:26">
      <c r="A19" s="222"/>
      <c r="B19" s="222"/>
      <c r="M19" s="43"/>
      <c r="N19" s="43"/>
    </row>
    <row r="20" spans="1:26">
      <c r="E20" s="221" t="s">
        <v>403</v>
      </c>
      <c r="F20" s="221" t="s">
        <v>1156</v>
      </c>
      <c r="G20" s="43" t="s">
        <v>1157</v>
      </c>
      <c r="H20" s="222"/>
      <c r="K20" s="43" t="s">
        <v>219</v>
      </c>
      <c r="Z20" s="43" t="s">
        <v>1160</v>
      </c>
    </row>
    <row r="21" spans="1:26">
      <c r="A21" s="49" t="s">
        <v>231</v>
      </c>
      <c r="B21" s="43" t="s">
        <v>432</v>
      </c>
      <c r="C21" s="49" t="s">
        <v>232</v>
      </c>
      <c r="D21" s="204" t="s">
        <v>427</v>
      </c>
      <c r="E21" s="43">
        <v>34</v>
      </c>
      <c r="F21" s="43">
        <v>32</v>
      </c>
      <c r="G21" s="43">
        <v>31</v>
      </c>
      <c r="H21" s="43">
        <v>53</v>
      </c>
      <c r="K21" s="49">
        <f>計分版!D21</f>
        <v>3.9500000000000006E-9</v>
      </c>
      <c r="L21" s="43">
        <f>入學要求!S3</f>
        <v>0</v>
      </c>
      <c r="R21" s="57"/>
      <c r="S21" s="57"/>
    </row>
    <row r="22" spans="1:26">
      <c r="A22" s="49" t="s">
        <v>233</v>
      </c>
      <c r="B22" s="43" t="s">
        <v>432</v>
      </c>
      <c r="C22" s="49" t="s">
        <v>234</v>
      </c>
      <c r="D22" s="204" t="s">
        <v>82</v>
      </c>
      <c r="E22" s="43">
        <v>34</v>
      </c>
      <c r="F22" s="43">
        <v>32</v>
      </c>
      <c r="G22" s="43">
        <v>32</v>
      </c>
      <c r="H22" s="43">
        <v>31</v>
      </c>
      <c r="K22" s="49">
        <f>計分版!D22</f>
        <v>3.3999999999999998E-9</v>
      </c>
      <c r="L22" s="43">
        <f>入學要求!S4</f>
        <v>0</v>
      </c>
      <c r="S22" s="57"/>
    </row>
    <row r="23" spans="1:26">
      <c r="A23" s="49" t="s">
        <v>235</v>
      </c>
      <c r="B23" s="43" t="s">
        <v>432</v>
      </c>
      <c r="C23" s="49" t="s">
        <v>236</v>
      </c>
      <c r="D23" s="204" t="s">
        <v>214</v>
      </c>
      <c r="E23" s="43">
        <v>34</v>
      </c>
      <c r="F23" s="43">
        <v>32</v>
      </c>
      <c r="G23" s="43">
        <v>31</v>
      </c>
      <c r="H23" s="43">
        <v>12</v>
      </c>
      <c r="K23" s="49">
        <f>計分版!D23</f>
        <v>3.3999999999999998E-9</v>
      </c>
      <c r="L23" s="43">
        <f>入學要求!S5</f>
        <v>0</v>
      </c>
      <c r="R23" s="57"/>
      <c r="S23" s="57"/>
    </row>
    <row r="24" spans="1:26">
      <c r="A24" s="49" t="s">
        <v>237</v>
      </c>
      <c r="B24" s="43" t="s">
        <v>432</v>
      </c>
      <c r="C24" s="49" t="s">
        <v>238</v>
      </c>
      <c r="D24" s="204" t="s">
        <v>214</v>
      </c>
      <c r="E24" s="43">
        <v>28</v>
      </c>
      <c r="F24" s="43">
        <v>26</v>
      </c>
      <c r="G24" s="43">
        <v>26</v>
      </c>
      <c r="H24" s="43">
        <v>12</v>
      </c>
      <c r="K24" s="49">
        <f>計分版!D24</f>
        <v>3.3999999999999998E-9</v>
      </c>
      <c r="L24" s="43">
        <f>入學要求!S6</f>
        <v>0</v>
      </c>
      <c r="S24" s="57"/>
    </row>
    <row r="25" spans="1:26">
      <c r="A25" s="49" t="s">
        <v>239</v>
      </c>
      <c r="B25" s="43" t="s">
        <v>432</v>
      </c>
      <c r="C25" s="49" t="s">
        <v>240</v>
      </c>
      <c r="D25" s="204" t="s">
        <v>214</v>
      </c>
      <c r="E25" s="43">
        <v>30</v>
      </c>
      <c r="F25" s="43">
        <v>28</v>
      </c>
      <c r="G25" s="43">
        <v>28</v>
      </c>
      <c r="H25" s="43">
        <v>17</v>
      </c>
      <c r="K25" s="49">
        <f>計分版!D25</f>
        <v>3.3999999999999998E-9</v>
      </c>
      <c r="L25" s="43">
        <f>入學要求!S7</f>
        <v>0</v>
      </c>
      <c r="R25" s="57"/>
      <c r="S25" s="57"/>
    </row>
    <row r="26" spans="1:26">
      <c r="A26" s="49" t="s">
        <v>241</v>
      </c>
      <c r="B26" s="43" t="s">
        <v>432</v>
      </c>
      <c r="C26" s="49" t="s">
        <v>242</v>
      </c>
      <c r="D26" s="204" t="s">
        <v>214</v>
      </c>
      <c r="E26" s="43">
        <v>28</v>
      </c>
      <c r="F26" s="43">
        <v>26</v>
      </c>
      <c r="G26" s="43">
        <v>26</v>
      </c>
      <c r="H26" s="43">
        <v>347</v>
      </c>
      <c r="K26" s="49">
        <f>計分版!D26</f>
        <v>3.2000000000000001E-9</v>
      </c>
      <c r="L26" s="43">
        <f>入學要求!S8</f>
        <v>0</v>
      </c>
    </row>
    <row r="27" spans="1:26">
      <c r="A27" s="49" t="s">
        <v>284</v>
      </c>
      <c r="B27" s="43" t="s">
        <v>432</v>
      </c>
      <c r="C27" s="49" t="s">
        <v>285</v>
      </c>
      <c r="D27" s="204" t="s">
        <v>80</v>
      </c>
      <c r="E27" s="43">
        <v>35</v>
      </c>
      <c r="F27" s="43">
        <v>33</v>
      </c>
      <c r="G27" s="43">
        <v>32</v>
      </c>
      <c r="H27" s="43" t="s">
        <v>1175</v>
      </c>
      <c r="K27" s="49">
        <f>計分版!D27</f>
        <v>3.5000000000000003E-9</v>
      </c>
      <c r="L27" s="43">
        <f>入學要求!S9</f>
        <v>0</v>
      </c>
      <c r="S27" s="57"/>
    </row>
    <row r="28" spans="1:26">
      <c r="A28" s="49" t="s">
        <v>286</v>
      </c>
      <c r="B28" s="43" t="s">
        <v>432</v>
      </c>
      <c r="C28" s="49" t="s">
        <v>287</v>
      </c>
      <c r="D28" s="204" t="s">
        <v>428</v>
      </c>
      <c r="E28" s="43">
        <v>35</v>
      </c>
      <c r="F28" s="43">
        <v>33</v>
      </c>
      <c r="G28" s="43">
        <v>32</v>
      </c>
      <c r="H28" s="43" t="s">
        <v>1175</v>
      </c>
      <c r="K28" s="49">
        <f>計分版!D28</f>
        <v>2.7000000000000002E-9</v>
      </c>
      <c r="L28" s="43">
        <f>入學要求!S10</f>
        <v>0</v>
      </c>
      <c r="S28" s="57"/>
    </row>
    <row r="29" spans="1:26">
      <c r="A29" s="49" t="s">
        <v>288</v>
      </c>
      <c r="B29" s="43" t="s">
        <v>432</v>
      </c>
      <c r="C29" s="49" t="s">
        <v>289</v>
      </c>
      <c r="D29" s="204" t="s">
        <v>428</v>
      </c>
      <c r="E29" s="43">
        <v>34</v>
      </c>
      <c r="F29" s="43">
        <v>33</v>
      </c>
      <c r="G29" s="43">
        <v>32</v>
      </c>
      <c r="H29" s="43">
        <v>15</v>
      </c>
      <c r="K29" s="49">
        <f>計分版!D29</f>
        <v>2.7000000000000002E-9</v>
      </c>
      <c r="L29" s="43">
        <f>入學要求!S12</f>
        <v>0</v>
      </c>
      <c r="S29" s="57"/>
    </row>
    <row r="30" spans="1:26">
      <c r="A30" s="49" t="s">
        <v>290</v>
      </c>
      <c r="B30" s="43" t="s">
        <v>432</v>
      </c>
      <c r="C30" s="49" t="s">
        <v>291</v>
      </c>
      <c r="D30" s="204" t="s">
        <v>428</v>
      </c>
      <c r="E30" s="43">
        <v>44</v>
      </c>
      <c r="F30" s="43">
        <v>41</v>
      </c>
      <c r="G30" s="43">
        <v>41</v>
      </c>
      <c r="H30" s="43">
        <v>70</v>
      </c>
      <c r="K30" s="49">
        <f>計分版!D30</f>
        <v>2.7000000000000002E-9</v>
      </c>
      <c r="L30" s="43">
        <f>入學要求!S13</f>
        <v>0</v>
      </c>
    </row>
    <row r="31" spans="1:26">
      <c r="A31" s="49" t="s">
        <v>296</v>
      </c>
      <c r="B31" s="43" t="s">
        <v>432</v>
      </c>
      <c r="C31" s="49" t="s">
        <v>297</v>
      </c>
      <c r="D31" s="204" t="s">
        <v>80</v>
      </c>
      <c r="E31" s="43">
        <v>39</v>
      </c>
      <c r="F31" s="43">
        <v>38</v>
      </c>
      <c r="G31" s="43">
        <v>38</v>
      </c>
      <c r="H31" s="43" t="s">
        <v>1175</v>
      </c>
      <c r="K31" s="49">
        <f>計分版!D31</f>
        <v>3.5000000000000003E-9</v>
      </c>
      <c r="L31" s="43">
        <f>入學要求!S11</f>
        <v>0</v>
      </c>
    </row>
    <row r="32" spans="1:26">
      <c r="A32" s="49" t="s">
        <v>298</v>
      </c>
      <c r="B32" s="43" t="s">
        <v>432</v>
      </c>
      <c r="C32" s="49" t="s">
        <v>299</v>
      </c>
      <c r="D32" s="204" t="s">
        <v>80</v>
      </c>
      <c r="E32" s="43">
        <v>41</v>
      </c>
      <c r="F32" s="43">
        <v>39</v>
      </c>
      <c r="G32" s="43">
        <v>38</v>
      </c>
      <c r="H32" s="43">
        <v>25</v>
      </c>
      <c r="K32" s="49">
        <f>計分版!D32</f>
        <v>3.4000000000000003E-9</v>
      </c>
      <c r="L32" s="43">
        <f>入學要求!S14</f>
        <v>0</v>
      </c>
    </row>
    <row r="33" spans="1:14">
      <c r="A33" s="49" t="s">
        <v>300</v>
      </c>
      <c r="B33" s="43" t="s">
        <v>432</v>
      </c>
      <c r="C33" s="49" t="s">
        <v>433</v>
      </c>
      <c r="D33" s="204" t="s">
        <v>220</v>
      </c>
      <c r="E33" s="43">
        <v>45</v>
      </c>
      <c r="F33" s="43">
        <v>45</v>
      </c>
      <c r="G33" s="43">
        <v>45</v>
      </c>
      <c r="H33" s="43">
        <v>31</v>
      </c>
      <c r="K33" s="49">
        <f>計分版!D33</f>
        <v>2.7000000000000002E-9</v>
      </c>
      <c r="L33" s="43">
        <f>入學要求!S15</f>
        <v>0</v>
      </c>
    </row>
    <row r="34" spans="1:14">
      <c r="A34" s="49" t="s">
        <v>251</v>
      </c>
      <c r="B34" s="43" t="s">
        <v>432</v>
      </c>
      <c r="C34" s="49" t="s">
        <v>252</v>
      </c>
      <c r="D34" s="204" t="s">
        <v>80</v>
      </c>
      <c r="E34" s="43">
        <v>47</v>
      </c>
      <c r="F34" s="43">
        <v>44</v>
      </c>
      <c r="G34" s="43">
        <v>42</v>
      </c>
      <c r="H34" s="43">
        <v>80</v>
      </c>
      <c r="K34" s="49">
        <f>計分版!D35</f>
        <v>3.3999999999999998E-9</v>
      </c>
      <c r="L34" s="43">
        <f>入學要求!S16</f>
        <v>0</v>
      </c>
    </row>
    <row r="35" spans="1:14">
      <c r="A35" s="49" t="s">
        <v>243</v>
      </c>
      <c r="B35" s="43" t="s">
        <v>432</v>
      </c>
      <c r="C35" s="49" t="s">
        <v>244</v>
      </c>
      <c r="D35" s="204" t="s">
        <v>214</v>
      </c>
      <c r="E35" s="43">
        <v>28</v>
      </c>
      <c r="F35" s="43">
        <v>26</v>
      </c>
      <c r="G35" s="43">
        <v>25</v>
      </c>
      <c r="H35" s="43">
        <v>26</v>
      </c>
      <c r="K35" s="49">
        <f>計分版!D36</f>
        <v>3E-9</v>
      </c>
      <c r="L35" s="43">
        <f>入學要求!S17</f>
        <v>0</v>
      </c>
    </row>
    <row r="36" spans="1:14">
      <c r="A36" s="49" t="s">
        <v>247</v>
      </c>
      <c r="B36" s="43" t="s">
        <v>432</v>
      </c>
      <c r="C36" s="49" t="s">
        <v>248</v>
      </c>
      <c r="D36" s="204" t="s">
        <v>214</v>
      </c>
      <c r="E36" s="43">
        <v>29</v>
      </c>
      <c r="F36" s="43">
        <v>28</v>
      </c>
      <c r="G36" s="43">
        <v>28</v>
      </c>
      <c r="H36" s="43">
        <v>23</v>
      </c>
      <c r="K36" s="49">
        <f>計分版!D37</f>
        <v>2.9000000000000003E-9</v>
      </c>
      <c r="L36" s="43">
        <f>入學要求!S18</f>
        <v>0</v>
      </c>
    </row>
    <row r="37" spans="1:14">
      <c r="A37" s="49" t="s">
        <v>249</v>
      </c>
      <c r="B37" s="43" t="s">
        <v>432</v>
      </c>
      <c r="C37" s="49" t="s">
        <v>250</v>
      </c>
      <c r="D37" s="204" t="s">
        <v>214</v>
      </c>
      <c r="E37" s="43">
        <v>27</v>
      </c>
      <c r="F37" s="43">
        <v>23</v>
      </c>
      <c r="G37" s="43">
        <v>23</v>
      </c>
      <c r="H37" s="43">
        <v>18</v>
      </c>
      <c r="K37" s="49">
        <f>計分版!D38</f>
        <v>2.7000000000000002E-9</v>
      </c>
      <c r="L37" s="43">
        <f>入學要求!S19</f>
        <v>0</v>
      </c>
    </row>
    <row r="38" spans="1:14">
      <c r="A38" s="49" t="s">
        <v>253</v>
      </c>
      <c r="B38" s="43" t="s">
        <v>432</v>
      </c>
      <c r="C38" s="49" t="s">
        <v>254</v>
      </c>
      <c r="D38" s="204" t="s">
        <v>214</v>
      </c>
      <c r="E38" s="43">
        <v>32</v>
      </c>
      <c r="F38" s="43">
        <v>29</v>
      </c>
      <c r="G38" s="43">
        <v>28</v>
      </c>
      <c r="H38" s="43">
        <v>16</v>
      </c>
      <c r="K38" s="49">
        <f>計分版!D39</f>
        <v>2.2000000000000003E-9</v>
      </c>
      <c r="L38" s="43">
        <f>入學要求!S20</f>
        <v>0</v>
      </c>
      <c r="M38" s="43"/>
      <c r="N38" s="43"/>
    </row>
    <row r="39" spans="1:14">
      <c r="A39" s="49" t="s">
        <v>255</v>
      </c>
      <c r="B39" s="43" t="s">
        <v>432</v>
      </c>
      <c r="C39" s="49" t="s">
        <v>256</v>
      </c>
      <c r="D39" s="204" t="s">
        <v>80</v>
      </c>
      <c r="E39" s="43">
        <v>39</v>
      </c>
      <c r="F39" s="43">
        <v>38</v>
      </c>
      <c r="G39" s="43">
        <v>35</v>
      </c>
      <c r="H39" s="43">
        <v>48</v>
      </c>
      <c r="K39" s="49">
        <f>計分版!D40</f>
        <v>3.7E-9</v>
      </c>
      <c r="L39" s="43">
        <f>入學要求!S21</f>
        <v>0</v>
      </c>
    </row>
    <row r="40" spans="1:14">
      <c r="A40" s="49" t="s">
        <v>257</v>
      </c>
      <c r="B40" s="43" t="s">
        <v>432</v>
      </c>
      <c r="C40" s="49" t="s">
        <v>258</v>
      </c>
      <c r="D40" s="204" t="s">
        <v>214</v>
      </c>
      <c r="E40" s="43">
        <v>31</v>
      </c>
      <c r="F40" s="43">
        <v>29</v>
      </c>
      <c r="G40" s="43">
        <v>28</v>
      </c>
      <c r="H40" s="43">
        <v>6</v>
      </c>
      <c r="K40" s="49">
        <f>計分版!D41</f>
        <v>3.9500000000000006E-9</v>
      </c>
      <c r="L40" s="43">
        <f>入學要求!S22</f>
        <v>0</v>
      </c>
    </row>
    <row r="41" spans="1:14">
      <c r="A41" s="49" t="s">
        <v>304</v>
      </c>
      <c r="B41" s="43" t="s">
        <v>432</v>
      </c>
      <c r="C41" s="49" t="s">
        <v>305</v>
      </c>
      <c r="D41" s="204" t="s">
        <v>214</v>
      </c>
      <c r="E41" s="43">
        <v>32</v>
      </c>
      <c r="F41" s="43">
        <v>31</v>
      </c>
      <c r="G41" s="43">
        <v>29</v>
      </c>
      <c r="H41" s="43">
        <v>23</v>
      </c>
      <c r="K41" s="49">
        <f>計分版!D42</f>
        <v>3.1500000000000005E-9</v>
      </c>
      <c r="L41" s="43">
        <f>入學要求!S23</f>
        <v>0</v>
      </c>
    </row>
    <row r="42" spans="1:14">
      <c r="A42" s="49" t="s">
        <v>306</v>
      </c>
      <c r="B42" s="43" t="s">
        <v>432</v>
      </c>
      <c r="C42" s="49" t="s">
        <v>307</v>
      </c>
      <c r="D42" s="204" t="s">
        <v>82</v>
      </c>
      <c r="E42" s="43" t="s">
        <v>899</v>
      </c>
      <c r="F42" s="43" t="s">
        <v>899</v>
      </c>
      <c r="G42" s="43" t="s">
        <v>899</v>
      </c>
      <c r="H42" s="43">
        <v>14</v>
      </c>
      <c r="K42" s="49">
        <f>計分版!D34</f>
        <v>3.1500000000000005E-9</v>
      </c>
      <c r="L42" s="43">
        <f>入學要求!S24</f>
        <v>0</v>
      </c>
    </row>
    <row r="43" spans="1:14">
      <c r="A43" s="49" t="s">
        <v>310</v>
      </c>
      <c r="B43" s="43" t="s">
        <v>432</v>
      </c>
      <c r="C43" s="49" t="s">
        <v>311</v>
      </c>
      <c r="D43" s="204" t="s">
        <v>214</v>
      </c>
      <c r="E43" s="43">
        <v>30</v>
      </c>
      <c r="F43" s="43">
        <v>28</v>
      </c>
      <c r="G43" s="43">
        <v>25</v>
      </c>
      <c r="H43" s="43">
        <v>20</v>
      </c>
      <c r="K43" s="49">
        <f>計分版!D43</f>
        <v>3.1500000000000005E-9</v>
      </c>
      <c r="L43" s="43">
        <f>入學要求!S25</f>
        <v>0</v>
      </c>
    </row>
    <row r="44" spans="1:14">
      <c r="A44" s="49" t="s">
        <v>312</v>
      </c>
      <c r="B44" s="43" t="s">
        <v>432</v>
      </c>
      <c r="C44" s="49" t="s">
        <v>313</v>
      </c>
      <c r="D44" s="204" t="s">
        <v>214</v>
      </c>
      <c r="E44" s="43">
        <v>28</v>
      </c>
      <c r="F44" s="43">
        <v>26</v>
      </c>
      <c r="G44" s="43">
        <v>25</v>
      </c>
      <c r="H44" s="43">
        <v>383</v>
      </c>
      <c r="K44" s="49">
        <f>計分版!D44</f>
        <v>3.1500000000000005E-9</v>
      </c>
      <c r="L44" s="43">
        <f>入學要求!S26</f>
        <v>0</v>
      </c>
    </row>
    <row r="45" spans="1:14">
      <c r="A45" s="49" t="s">
        <v>245</v>
      </c>
      <c r="B45" s="43" t="s">
        <v>432</v>
      </c>
      <c r="C45" s="49" t="s">
        <v>246</v>
      </c>
      <c r="D45" s="204" t="s">
        <v>80</v>
      </c>
      <c r="E45" s="43">
        <v>46</v>
      </c>
      <c r="F45" s="43">
        <v>42</v>
      </c>
      <c r="G45" s="43">
        <v>39</v>
      </c>
      <c r="H45" s="43">
        <v>20</v>
      </c>
      <c r="K45" s="49">
        <f>計分版!D45</f>
        <v>3.6E-9</v>
      </c>
      <c r="L45" s="43">
        <f>入學要求!S27</f>
        <v>0</v>
      </c>
    </row>
    <row r="46" spans="1:14">
      <c r="A46" s="49" t="s">
        <v>269</v>
      </c>
      <c r="B46" s="43" t="s">
        <v>432</v>
      </c>
      <c r="C46" s="49" t="s">
        <v>169</v>
      </c>
      <c r="D46" s="204" t="s">
        <v>80</v>
      </c>
      <c r="E46" s="43">
        <v>39</v>
      </c>
      <c r="F46" s="43">
        <v>38</v>
      </c>
      <c r="G46" s="43">
        <v>38</v>
      </c>
      <c r="H46" s="43">
        <v>98</v>
      </c>
      <c r="K46" s="49">
        <f>計分版!D46</f>
        <v>3.6E-9</v>
      </c>
      <c r="L46" s="43">
        <f>入學要求!S28</f>
        <v>0</v>
      </c>
    </row>
    <row r="47" spans="1:14">
      <c r="A47" s="49" t="s">
        <v>270</v>
      </c>
      <c r="B47" s="43" t="s">
        <v>432</v>
      </c>
      <c r="C47" s="49" t="s">
        <v>271</v>
      </c>
      <c r="D47" s="204" t="s">
        <v>80</v>
      </c>
      <c r="E47" s="43">
        <v>39</v>
      </c>
      <c r="F47" s="43">
        <v>38</v>
      </c>
      <c r="G47" s="43">
        <v>37</v>
      </c>
      <c r="H47" s="43">
        <v>265</v>
      </c>
      <c r="K47" s="49">
        <f>計分版!D47</f>
        <v>3.7666666666666665E-9</v>
      </c>
      <c r="L47" s="43">
        <f>入學要求!S29</f>
        <v>0</v>
      </c>
      <c r="M47" s="43"/>
      <c r="N47" s="43"/>
    </row>
    <row r="48" spans="1:14">
      <c r="A48" s="49" t="s">
        <v>272</v>
      </c>
      <c r="B48" s="43" t="s">
        <v>432</v>
      </c>
      <c r="C48" s="49" t="s">
        <v>273</v>
      </c>
      <c r="D48" s="204" t="s">
        <v>214</v>
      </c>
      <c r="E48" s="43">
        <v>26</v>
      </c>
      <c r="F48" s="43">
        <v>25</v>
      </c>
      <c r="G48" s="43">
        <v>25</v>
      </c>
      <c r="H48" s="43">
        <v>210</v>
      </c>
      <c r="K48" s="49">
        <f>計分版!D48</f>
        <v>3.3999999999999998E-9</v>
      </c>
      <c r="L48" s="43">
        <f>入學要求!S30</f>
        <v>0</v>
      </c>
    </row>
    <row r="49" spans="1:14">
      <c r="A49" s="49" t="s">
        <v>274</v>
      </c>
      <c r="B49" s="43" t="s">
        <v>432</v>
      </c>
      <c r="C49" s="49" t="s">
        <v>275</v>
      </c>
      <c r="D49" s="204" t="s">
        <v>214</v>
      </c>
      <c r="E49" s="43">
        <v>29</v>
      </c>
      <c r="F49" s="43">
        <v>29</v>
      </c>
      <c r="G49" s="43">
        <v>28</v>
      </c>
      <c r="H49" s="43">
        <v>24</v>
      </c>
      <c r="K49" s="49">
        <f>計分版!D49</f>
        <v>3.3999999999999998E-9</v>
      </c>
      <c r="L49" s="43">
        <f>入學要求!S31</f>
        <v>0</v>
      </c>
    </row>
    <row r="50" spans="1:14">
      <c r="A50" s="49" t="s">
        <v>276</v>
      </c>
      <c r="B50" s="43" t="s">
        <v>432</v>
      </c>
      <c r="C50" s="49" t="s">
        <v>277</v>
      </c>
      <c r="D50" s="204" t="s">
        <v>80</v>
      </c>
      <c r="E50" s="43">
        <v>35</v>
      </c>
      <c r="F50" s="43">
        <v>34</v>
      </c>
      <c r="G50" s="43">
        <v>33</v>
      </c>
      <c r="H50" s="43">
        <v>30</v>
      </c>
      <c r="K50" s="49">
        <f>計分版!D50</f>
        <v>3.7666666666666665E-9</v>
      </c>
      <c r="L50" s="43">
        <f>入學要求!S32</f>
        <v>0</v>
      </c>
      <c r="M50" s="43"/>
      <c r="N50" s="43"/>
    </row>
    <row r="51" spans="1:14">
      <c r="A51" s="49" t="s">
        <v>308</v>
      </c>
      <c r="B51" s="43" t="s">
        <v>432</v>
      </c>
      <c r="C51" s="49" t="s">
        <v>309</v>
      </c>
      <c r="D51" s="204" t="s">
        <v>80</v>
      </c>
      <c r="E51" s="43">
        <v>35</v>
      </c>
      <c r="F51" s="43">
        <v>35</v>
      </c>
      <c r="G51" s="43">
        <v>35</v>
      </c>
      <c r="H51" s="43">
        <v>35</v>
      </c>
      <c r="K51" s="49">
        <f>計分版!D51</f>
        <v>3.7666666666666665E-9</v>
      </c>
      <c r="L51" s="43">
        <f>入學要求!S33</f>
        <v>0</v>
      </c>
      <c r="M51" s="43"/>
      <c r="N51" s="43"/>
    </row>
    <row r="52" spans="1:14">
      <c r="A52" s="49" t="s">
        <v>280</v>
      </c>
      <c r="B52" s="43" t="s">
        <v>432</v>
      </c>
      <c r="C52" s="49" t="s">
        <v>281</v>
      </c>
      <c r="D52" s="204" t="s">
        <v>80</v>
      </c>
      <c r="E52" s="43">
        <v>36</v>
      </c>
      <c r="F52" s="43">
        <v>33</v>
      </c>
      <c r="G52" s="43">
        <v>32</v>
      </c>
      <c r="H52" s="43">
        <v>61</v>
      </c>
      <c r="K52" s="49">
        <f>計分版!D52</f>
        <v>3.4000000000000003E-9</v>
      </c>
      <c r="L52" s="43">
        <f>入學要求!S34</f>
        <v>0</v>
      </c>
    </row>
    <row r="53" spans="1:14">
      <c r="A53" s="49" t="s">
        <v>302</v>
      </c>
      <c r="B53" s="43" t="s">
        <v>432</v>
      </c>
      <c r="C53" s="49" t="s">
        <v>303</v>
      </c>
      <c r="D53" s="204" t="s">
        <v>82</v>
      </c>
      <c r="E53" s="43">
        <v>26</v>
      </c>
      <c r="F53" s="43">
        <v>25</v>
      </c>
      <c r="G53" s="43">
        <v>23</v>
      </c>
      <c r="H53" s="43">
        <v>336</v>
      </c>
      <c r="K53" s="49">
        <f>計分版!D53</f>
        <v>2.2000000000000003E-9</v>
      </c>
      <c r="L53" s="43">
        <f>入學要求!S35</f>
        <v>0</v>
      </c>
    </row>
    <row r="54" spans="1:14">
      <c r="A54" s="49" t="s">
        <v>278</v>
      </c>
      <c r="B54" s="43" t="s">
        <v>432</v>
      </c>
      <c r="C54" s="49" t="s">
        <v>279</v>
      </c>
      <c r="D54" s="204" t="s">
        <v>214</v>
      </c>
      <c r="E54" s="43">
        <v>31</v>
      </c>
      <c r="F54" s="43">
        <v>28</v>
      </c>
      <c r="G54" s="43">
        <v>28</v>
      </c>
      <c r="H54" s="43">
        <v>179</v>
      </c>
      <c r="K54" s="49">
        <f>計分版!D54</f>
        <v>3.3999999999999998E-9</v>
      </c>
      <c r="L54" s="43">
        <f>入學要求!S36</f>
        <v>0</v>
      </c>
    </row>
    <row r="55" spans="1:14">
      <c r="A55" s="49" t="s">
        <v>282</v>
      </c>
      <c r="B55" s="43" t="s">
        <v>432</v>
      </c>
      <c r="C55" s="49" t="s">
        <v>283</v>
      </c>
      <c r="D55" s="204" t="s">
        <v>214</v>
      </c>
      <c r="E55" s="43">
        <v>27</v>
      </c>
      <c r="F55" s="43">
        <v>26</v>
      </c>
      <c r="G55" s="43">
        <v>26</v>
      </c>
      <c r="H55" s="43">
        <v>35</v>
      </c>
      <c r="K55" s="49">
        <f>計分版!D55</f>
        <v>3.3999999999999998E-9</v>
      </c>
      <c r="L55" s="43">
        <f>入學要求!S37</f>
        <v>0</v>
      </c>
    </row>
    <row r="56" spans="1:14">
      <c r="A56" s="49" t="s">
        <v>292</v>
      </c>
      <c r="B56" s="43" t="s">
        <v>432</v>
      </c>
      <c r="C56" s="49" t="s">
        <v>293</v>
      </c>
      <c r="D56" s="204" t="s">
        <v>80</v>
      </c>
      <c r="E56" s="43">
        <v>44</v>
      </c>
      <c r="F56" s="43">
        <v>41</v>
      </c>
      <c r="G56" s="43">
        <v>39</v>
      </c>
      <c r="H56" s="43">
        <v>50</v>
      </c>
      <c r="K56" s="49">
        <f>計分版!D56</f>
        <v>3.7E-9</v>
      </c>
      <c r="L56" s="43">
        <f>入學要求!S38</f>
        <v>0</v>
      </c>
    </row>
    <row r="57" spans="1:14">
      <c r="A57" s="49" t="s">
        <v>294</v>
      </c>
      <c r="B57" s="43" t="s">
        <v>432</v>
      </c>
      <c r="C57" s="49" t="s">
        <v>295</v>
      </c>
      <c r="D57" s="204" t="s">
        <v>214</v>
      </c>
      <c r="E57" s="43">
        <v>32</v>
      </c>
      <c r="F57" s="43">
        <v>31</v>
      </c>
      <c r="G57" s="43">
        <v>28</v>
      </c>
      <c r="H57" s="43">
        <v>21</v>
      </c>
      <c r="K57" s="49">
        <f>計分版!D57</f>
        <v>3.3999999999999998E-9</v>
      </c>
      <c r="L57" s="43">
        <f>入學要求!S39</f>
        <v>0</v>
      </c>
    </row>
    <row r="58" spans="1:14">
      <c r="A58" s="49" t="s">
        <v>259</v>
      </c>
      <c r="B58" s="43" t="s">
        <v>432</v>
      </c>
      <c r="C58" s="41" t="s">
        <v>260</v>
      </c>
      <c r="D58" s="204" t="s">
        <v>214</v>
      </c>
      <c r="E58" s="43">
        <v>34</v>
      </c>
      <c r="F58" s="43">
        <v>31</v>
      </c>
      <c r="G58" s="43">
        <v>29</v>
      </c>
      <c r="H58" s="43">
        <v>224</v>
      </c>
      <c r="K58" s="49">
        <f>計分版!D58</f>
        <v>3.9500000000000006E-9</v>
      </c>
      <c r="L58" s="43">
        <f>入學要求!S40</f>
        <v>0</v>
      </c>
    </row>
    <row r="59" spans="1:14">
      <c r="A59" s="49" t="s">
        <v>261</v>
      </c>
      <c r="B59" s="43" t="s">
        <v>432</v>
      </c>
      <c r="C59" s="49" t="s">
        <v>262</v>
      </c>
      <c r="D59" s="204" t="s">
        <v>80</v>
      </c>
      <c r="E59" s="43">
        <v>38</v>
      </c>
      <c r="F59" s="43">
        <v>36</v>
      </c>
      <c r="G59" s="43">
        <v>35</v>
      </c>
      <c r="H59" s="43">
        <v>15</v>
      </c>
      <c r="K59" s="49">
        <f>計分版!D59</f>
        <v>3.4000000000000003E-9</v>
      </c>
      <c r="L59" s="43">
        <f>入學要求!S41</f>
        <v>0</v>
      </c>
    </row>
    <row r="60" spans="1:14">
      <c r="A60" s="49" t="s">
        <v>263</v>
      </c>
      <c r="B60" s="43" t="s">
        <v>432</v>
      </c>
      <c r="C60" s="49" t="s">
        <v>264</v>
      </c>
      <c r="D60" s="204" t="s">
        <v>427</v>
      </c>
      <c r="E60" s="43">
        <v>34</v>
      </c>
      <c r="F60" s="43">
        <v>31</v>
      </c>
      <c r="G60" s="43">
        <v>29</v>
      </c>
      <c r="H60" s="43">
        <v>15</v>
      </c>
      <c r="K60" s="49">
        <f>計分版!D60</f>
        <v>3.9500000000000006E-9</v>
      </c>
      <c r="L60" s="43">
        <f>入學要求!S42</f>
        <v>0</v>
      </c>
    </row>
    <row r="61" spans="1:14">
      <c r="A61" s="49" t="s">
        <v>265</v>
      </c>
      <c r="B61" s="43" t="s">
        <v>432</v>
      </c>
      <c r="C61" s="49" t="s">
        <v>266</v>
      </c>
      <c r="D61" s="204" t="s">
        <v>80</v>
      </c>
      <c r="E61" s="43">
        <v>38</v>
      </c>
      <c r="F61" s="43">
        <v>36</v>
      </c>
      <c r="G61" s="43">
        <v>35</v>
      </c>
      <c r="H61" s="43">
        <v>24</v>
      </c>
      <c r="K61" s="49">
        <f>計分版!D61</f>
        <v>3.8500000000000006E-9</v>
      </c>
      <c r="L61" s="43">
        <f>入學要求!S43</f>
        <v>0</v>
      </c>
    </row>
    <row r="62" spans="1:14">
      <c r="A62" s="49" t="s">
        <v>267</v>
      </c>
      <c r="B62" s="43" t="s">
        <v>432</v>
      </c>
      <c r="C62" s="49" t="s">
        <v>268</v>
      </c>
      <c r="D62" s="204" t="s">
        <v>82</v>
      </c>
      <c r="E62" s="43">
        <v>34</v>
      </c>
      <c r="F62" s="43">
        <v>31</v>
      </c>
      <c r="G62" s="43">
        <v>29</v>
      </c>
      <c r="H62" s="43">
        <v>20</v>
      </c>
      <c r="K62" s="49">
        <f>計分版!D62</f>
        <v>3.3999999999999998E-9</v>
      </c>
      <c r="L62" s="43">
        <f>入學要求!S44</f>
        <v>0</v>
      </c>
    </row>
    <row r="63" spans="1:14">
      <c r="K63" s="49"/>
    </row>
    <row r="64" spans="1:14">
      <c r="B64" s="222"/>
      <c r="E64" s="221" t="s">
        <v>403</v>
      </c>
      <c r="F64" s="221" t="s">
        <v>1156</v>
      </c>
      <c r="G64" s="43" t="s">
        <v>1157</v>
      </c>
      <c r="H64" s="222"/>
      <c r="K64" s="49" t="str">
        <f>計分版!D64</f>
        <v>總分</v>
      </c>
    </row>
    <row r="65" spans="1:12">
      <c r="A65" s="43" t="s">
        <v>94</v>
      </c>
      <c r="B65" s="222" t="s">
        <v>218</v>
      </c>
      <c r="C65" s="43" t="s">
        <v>95</v>
      </c>
      <c r="D65" s="162" t="s">
        <v>214</v>
      </c>
      <c r="E65" s="43">
        <f>8.5+7+5.5+4+4</f>
        <v>29</v>
      </c>
      <c r="F65" s="43">
        <f>8.5+7+4+4+4</f>
        <v>27.5</v>
      </c>
      <c r="G65" s="43">
        <f>5.5+5.5+5.5+4+4</f>
        <v>24.5</v>
      </c>
      <c r="H65" s="43">
        <v>20</v>
      </c>
      <c r="K65" s="49">
        <f>計分版!D65</f>
        <v>3.9500000000000006E-9</v>
      </c>
      <c r="L65" s="43">
        <f>入學要求!S49</f>
        <v>0</v>
      </c>
    </row>
    <row r="66" spans="1:12">
      <c r="A66" s="43" t="s">
        <v>96</v>
      </c>
      <c r="B66" s="222" t="s">
        <v>218</v>
      </c>
      <c r="C66" s="43" t="s">
        <v>97</v>
      </c>
      <c r="D66" s="162" t="s">
        <v>214</v>
      </c>
      <c r="E66" s="43">
        <f>7*1.5+8.5+7+7+5.5</f>
        <v>38.5</v>
      </c>
      <c r="F66" s="43">
        <f>7*1.5+7+7+5.5+5.5</f>
        <v>35.5</v>
      </c>
      <c r="G66" s="43">
        <f>8.5*1.5+7+5.5+4+4</f>
        <v>33.25</v>
      </c>
      <c r="H66" s="43">
        <v>80</v>
      </c>
      <c r="K66" s="49">
        <f>計分版!D66</f>
        <v>3.9500000000000006E-9</v>
      </c>
      <c r="L66" s="43">
        <f>入學要求!S50</f>
        <v>0</v>
      </c>
    </row>
    <row r="67" spans="1:12">
      <c r="A67" s="43" t="s">
        <v>98</v>
      </c>
      <c r="B67" s="222" t="s">
        <v>218</v>
      </c>
      <c r="C67" s="43" t="s">
        <v>99</v>
      </c>
      <c r="D67" s="162" t="s">
        <v>214</v>
      </c>
      <c r="E67" s="43">
        <f>7+7+4+4+4</f>
        <v>26</v>
      </c>
      <c r="F67" s="43">
        <f>7+5.5+5.5+4+4</f>
        <v>26</v>
      </c>
      <c r="G67" s="43">
        <f>7+5.5+4+4+4</f>
        <v>24.5</v>
      </c>
      <c r="H67" s="43">
        <v>17</v>
      </c>
      <c r="K67" s="49">
        <f>計分版!D67</f>
        <v>3.9500000000000006E-9</v>
      </c>
      <c r="L67" s="43">
        <f>入學要求!S51</f>
        <v>0</v>
      </c>
    </row>
    <row r="68" spans="1:12">
      <c r="A68" s="43" t="s">
        <v>100</v>
      </c>
      <c r="B68" s="222" t="s">
        <v>218</v>
      </c>
      <c r="C68" s="43" t="s">
        <v>101</v>
      </c>
      <c r="D68" s="162" t="s">
        <v>214</v>
      </c>
      <c r="E68" s="43">
        <f>7+7+5.5+5.5+3</f>
        <v>28</v>
      </c>
      <c r="F68" s="43">
        <f>5.5+5.5+5.5+5.5+4</f>
        <v>26</v>
      </c>
      <c r="G68" s="43">
        <f>7+5.5+5.5+4+4</f>
        <v>26</v>
      </c>
      <c r="H68" s="43">
        <v>21</v>
      </c>
      <c r="K68" s="49">
        <f>計分版!D68</f>
        <v>3.9500000000000006E-9</v>
      </c>
      <c r="L68" s="43">
        <f>入學要求!S52</f>
        <v>0</v>
      </c>
    </row>
    <row r="69" spans="1:12">
      <c r="A69" s="43" t="s">
        <v>102</v>
      </c>
      <c r="B69" s="222" t="s">
        <v>218</v>
      </c>
      <c r="C69" s="43" t="s">
        <v>170</v>
      </c>
      <c r="D69" s="162" t="s">
        <v>220</v>
      </c>
      <c r="E69" s="43">
        <f>4+7*1.5+4+4+7+5.5</f>
        <v>35</v>
      </c>
      <c r="F69" s="43">
        <f>7+5.5*1.5+4+5.5+4+4</f>
        <v>32.75</v>
      </c>
      <c r="G69" s="43">
        <f>3+7*1.5+5.5+4+4+4</f>
        <v>31</v>
      </c>
      <c r="H69" s="43">
        <v>55</v>
      </c>
      <c r="K69" s="49">
        <f>計分版!D69</f>
        <v>2.9499999999999999E-9</v>
      </c>
      <c r="L69" s="43">
        <f>入學要求!S53</f>
        <v>0</v>
      </c>
    </row>
    <row r="70" spans="1:12">
      <c r="A70" s="43" t="s">
        <v>103</v>
      </c>
      <c r="B70" s="222" t="s">
        <v>218</v>
      </c>
      <c r="C70" s="43" t="s">
        <v>104</v>
      </c>
      <c r="D70" s="162" t="s">
        <v>214</v>
      </c>
      <c r="E70" s="43">
        <f>8.5+7+5.5+5.5+4</f>
        <v>30.5</v>
      </c>
      <c r="F70" s="43">
        <f>7+7+4+4+4</f>
        <v>26</v>
      </c>
      <c r="G70" s="43">
        <f>5.5+5.5+4+4+4</f>
        <v>23</v>
      </c>
      <c r="H70" s="43">
        <v>20</v>
      </c>
      <c r="K70" s="49">
        <f>計分版!D70</f>
        <v>3.9500000000000006E-9</v>
      </c>
      <c r="L70" s="43">
        <f>入學要求!S54</f>
        <v>0</v>
      </c>
    </row>
    <row r="71" spans="1:12">
      <c r="A71" s="43" t="s">
        <v>105</v>
      </c>
      <c r="B71" s="222" t="s">
        <v>218</v>
      </c>
      <c r="C71" s="43" t="s">
        <v>22</v>
      </c>
      <c r="D71" s="162" t="s">
        <v>214</v>
      </c>
      <c r="E71" s="43">
        <f>7+7+5.5+5.5+5.5</f>
        <v>30.5</v>
      </c>
      <c r="F71" s="43">
        <f>8.5+7+5.5+4+4</f>
        <v>29</v>
      </c>
      <c r="G71" s="43">
        <f>7+7+5.5+4+4</f>
        <v>27.5</v>
      </c>
      <c r="H71" s="43">
        <v>47</v>
      </c>
      <c r="K71" s="49">
        <f>計分版!D71</f>
        <v>3.9500000000000006E-9</v>
      </c>
      <c r="L71" s="43">
        <f>入學要求!S55</f>
        <v>0</v>
      </c>
    </row>
    <row r="72" spans="1:12">
      <c r="A72" s="43" t="s">
        <v>106</v>
      </c>
      <c r="B72" s="222" t="s">
        <v>218</v>
      </c>
      <c r="C72" s="43" t="s">
        <v>107</v>
      </c>
      <c r="D72" s="162" t="s">
        <v>214</v>
      </c>
      <c r="E72" s="43">
        <f>7+7+5.5+5.5+4</f>
        <v>29</v>
      </c>
      <c r="F72" s="43">
        <f>7+5.5+5.5+5.5+4</f>
        <v>27.5</v>
      </c>
      <c r="G72" s="43">
        <f>5.5+5.5+5.5+4+4</f>
        <v>24.5</v>
      </c>
      <c r="H72" s="43">
        <v>22</v>
      </c>
      <c r="K72" s="49">
        <f>計分版!D72</f>
        <v>3.9500000000000006E-9</v>
      </c>
      <c r="L72" s="43">
        <f>入學要求!S56</f>
        <v>0</v>
      </c>
    </row>
    <row r="73" spans="1:12">
      <c r="A73" s="43" t="s">
        <v>108</v>
      </c>
      <c r="B73" s="222" t="s">
        <v>218</v>
      </c>
      <c r="C73" s="43" t="s">
        <v>171</v>
      </c>
      <c r="D73" s="162" t="s">
        <v>214</v>
      </c>
      <c r="E73" s="43">
        <f>7+7+5.5+5.5+5.5</f>
        <v>30.5</v>
      </c>
      <c r="F73" s="43">
        <f>8.5+7+4+4+4</f>
        <v>27.5</v>
      </c>
      <c r="G73" s="43">
        <f>5.5+5.5+5.5+4+4</f>
        <v>24.5</v>
      </c>
      <c r="H73" s="43">
        <v>20</v>
      </c>
      <c r="K73" s="49">
        <f>計分版!D73</f>
        <v>3.9500000000000006E-9</v>
      </c>
      <c r="L73" s="43">
        <f>入學要求!S57</f>
        <v>0</v>
      </c>
    </row>
    <row r="74" spans="1:12">
      <c r="A74" s="43" t="s">
        <v>109</v>
      </c>
      <c r="B74" s="222" t="s">
        <v>218</v>
      </c>
      <c r="C74" s="43" t="s">
        <v>21</v>
      </c>
      <c r="D74" s="162" t="s">
        <v>214</v>
      </c>
      <c r="E74" s="43">
        <f>8.5+5.5+5.5+5.5+4</f>
        <v>29</v>
      </c>
      <c r="F74" s="43">
        <f>7+5.5+5.5+4+4</f>
        <v>26</v>
      </c>
      <c r="G74" s="43">
        <f>5.5+5.5+5.5+4+4</f>
        <v>24.5</v>
      </c>
      <c r="H74" s="43">
        <v>28</v>
      </c>
      <c r="K74" s="49">
        <f>計分版!D74</f>
        <v>3.9500000000000006E-9</v>
      </c>
      <c r="L74" s="43">
        <f>入學要求!S58</f>
        <v>0</v>
      </c>
    </row>
    <row r="75" spans="1:12">
      <c r="A75" s="43" t="s">
        <v>110</v>
      </c>
      <c r="B75" s="222" t="s">
        <v>218</v>
      </c>
      <c r="C75" s="43" t="s">
        <v>172</v>
      </c>
      <c r="D75" s="162" t="s">
        <v>214</v>
      </c>
      <c r="E75" s="43">
        <f>8.5+4+5.5+5.5+5.5</f>
        <v>29</v>
      </c>
      <c r="F75" s="43">
        <f>5.5+4+7+4+4</f>
        <v>24.5</v>
      </c>
      <c r="G75" s="43">
        <f>5.5+4+7+4+4</f>
        <v>24.5</v>
      </c>
      <c r="H75" s="43">
        <v>21</v>
      </c>
      <c r="K75" s="49">
        <f>計分版!D75</f>
        <v>2.9500000000000004E-9</v>
      </c>
      <c r="L75" s="43">
        <f>入學要求!S59</f>
        <v>0</v>
      </c>
    </row>
    <row r="76" spans="1:12">
      <c r="A76" s="43" t="s">
        <v>111</v>
      </c>
      <c r="B76" s="222" t="s">
        <v>218</v>
      </c>
      <c r="C76" s="43" t="s">
        <v>173</v>
      </c>
      <c r="D76" s="162" t="s">
        <v>214</v>
      </c>
      <c r="E76" s="43">
        <f>7+5.5+4+4+4</f>
        <v>24.5</v>
      </c>
      <c r="F76" s="43">
        <f>7+5.5+4+4+3</f>
        <v>23.5</v>
      </c>
      <c r="G76" s="43">
        <f>7+4+4+4+4</f>
        <v>23</v>
      </c>
      <c r="H76" s="43" t="s">
        <v>1176</v>
      </c>
      <c r="K76" s="49">
        <f>計分版!D76</f>
        <v>3.9500000000000006E-9</v>
      </c>
      <c r="L76" s="43">
        <f>入學要求!S60</f>
        <v>0</v>
      </c>
    </row>
    <row r="77" spans="1:12">
      <c r="A77" s="43" t="s">
        <v>112</v>
      </c>
      <c r="B77" s="222" t="s">
        <v>218</v>
      </c>
      <c r="C77" s="43" t="s">
        <v>174</v>
      </c>
      <c r="D77" s="162" t="s">
        <v>214</v>
      </c>
      <c r="E77" s="43" t="s">
        <v>899</v>
      </c>
      <c r="F77" s="43" t="s">
        <v>899</v>
      </c>
      <c r="G77" s="43" t="s">
        <v>899</v>
      </c>
      <c r="H77" s="43" t="s">
        <v>1176</v>
      </c>
      <c r="K77" s="49">
        <f>計分版!D77</f>
        <v>3.9500000000000006E-9</v>
      </c>
      <c r="L77" s="43">
        <f>入學要求!S61</f>
        <v>0</v>
      </c>
    </row>
    <row r="78" spans="1:12">
      <c r="A78" s="43" t="s">
        <v>113</v>
      </c>
      <c r="B78" s="222" t="s">
        <v>218</v>
      </c>
      <c r="C78" s="43" t="s">
        <v>114</v>
      </c>
      <c r="D78" s="162" t="s">
        <v>214</v>
      </c>
      <c r="E78" s="43">
        <f>8.5+8.5+7+5.5+4</f>
        <v>33.5</v>
      </c>
      <c r="F78" s="43">
        <f>7+7+7+5+5</f>
        <v>31</v>
      </c>
      <c r="G78" s="43">
        <f>8.5+7+5.5+5.5+4</f>
        <v>30.5</v>
      </c>
      <c r="H78" s="43">
        <v>32</v>
      </c>
      <c r="K78" s="49">
        <f>計分版!D78</f>
        <v>3.9500000000000006E-9</v>
      </c>
      <c r="L78" s="43">
        <f>入學要求!S62</f>
        <v>0</v>
      </c>
    </row>
    <row r="79" spans="1:12">
      <c r="A79" s="43" t="s">
        <v>208</v>
      </c>
      <c r="B79" s="222" t="s">
        <v>218</v>
      </c>
      <c r="C79" s="43" t="s">
        <v>209</v>
      </c>
      <c r="D79" s="162" t="s">
        <v>214</v>
      </c>
      <c r="E79" s="43">
        <f>7+5.5+4+4+4</f>
        <v>24.5</v>
      </c>
      <c r="F79" s="43">
        <f>5.5+4+4+4+4</f>
        <v>21.5</v>
      </c>
      <c r="G79" s="43">
        <f>5.5+4+4+4+4</f>
        <v>21.5</v>
      </c>
      <c r="H79" s="43">
        <v>15</v>
      </c>
      <c r="K79" s="49">
        <f>計分版!D79</f>
        <v>3.9500000000000006E-9</v>
      </c>
      <c r="L79" s="43">
        <f>入學要求!S63</f>
        <v>0</v>
      </c>
    </row>
    <row r="80" spans="1:12">
      <c r="A80" s="43" t="s">
        <v>115</v>
      </c>
      <c r="B80" s="222" t="s">
        <v>218</v>
      </c>
      <c r="C80" s="43" t="s">
        <v>116</v>
      </c>
      <c r="D80" s="162" t="s">
        <v>214</v>
      </c>
      <c r="E80" s="43">
        <f>7+7+5.5+5.5+4</f>
        <v>29</v>
      </c>
      <c r="F80" s="43">
        <f>8.5+7+4+4+4</f>
        <v>27.5</v>
      </c>
      <c r="G80" s="43">
        <f>7+5.5+5.5+4+4</f>
        <v>26</v>
      </c>
      <c r="H80" s="43">
        <v>233</v>
      </c>
      <c r="K80" s="49">
        <f>計分版!D80</f>
        <v>3.9500000000000006E-9</v>
      </c>
      <c r="L80" s="43">
        <f>入學要求!S64</f>
        <v>0</v>
      </c>
    </row>
    <row r="81" spans="1:12">
      <c r="A81" s="43" t="s">
        <v>117</v>
      </c>
      <c r="B81" s="222" t="s">
        <v>218</v>
      </c>
      <c r="C81" s="43" t="s">
        <v>118</v>
      </c>
      <c r="D81" s="162" t="s">
        <v>215</v>
      </c>
      <c r="E81" s="43">
        <f>8.5+8.5+8.5+5.5+8.5+8.5</f>
        <v>48</v>
      </c>
      <c r="F81" s="43">
        <f>8.5+7+8.5+8.5+7+7</f>
        <v>46.5</v>
      </c>
      <c r="G81" s="43">
        <f>8.5+7+7+8.5+7+7</f>
        <v>45</v>
      </c>
      <c r="H81" s="43">
        <v>15</v>
      </c>
      <c r="K81" s="49">
        <f>計分版!D81</f>
        <v>2.8499999999999999E-9</v>
      </c>
      <c r="L81" s="43">
        <f>入學要求!S65</f>
        <v>0</v>
      </c>
    </row>
    <row r="82" spans="1:12">
      <c r="A82" s="43" t="s">
        <v>119</v>
      </c>
      <c r="B82" s="222" t="s">
        <v>218</v>
      </c>
      <c r="C82" s="43" t="s">
        <v>175</v>
      </c>
      <c r="D82" s="162" t="s">
        <v>214</v>
      </c>
      <c r="E82" s="43">
        <f>7+5.5*2+4+4+4</f>
        <v>30</v>
      </c>
      <c r="F82" s="43">
        <f>5.5+5.5+5.5+4*2+4</f>
        <v>28.5</v>
      </c>
      <c r="G82" s="43">
        <f>5.5+5.5*2+4+4+4</f>
        <v>28.5</v>
      </c>
      <c r="H82" s="43">
        <v>66</v>
      </c>
      <c r="K82" s="49">
        <f>計分版!D82</f>
        <v>3.9500000000000006E-9</v>
      </c>
      <c r="L82" s="43">
        <f>入學要求!S66</f>
        <v>0</v>
      </c>
    </row>
    <row r="83" spans="1:12">
      <c r="A83" s="43" t="s">
        <v>176</v>
      </c>
      <c r="B83" s="222" t="s">
        <v>218</v>
      </c>
      <c r="C83" s="43" t="s">
        <v>177</v>
      </c>
      <c r="D83" s="162" t="s">
        <v>214</v>
      </c>
      <c r="E83" s="43">
        <f>4+8.5+7+7+7</f>
        <v>33.5</v>
      </c>
      <c r="F83" s="43">
        <f>5.5+7+7+7+5.5</f>
        <v>32</v>
      </c>
      <c r="G83" s="43">
        <f>3+8.5+8.5+5.5+5.5</f>
        <v>31</v>
      </c>
      <c r="H83" s="43">
        <v>36</v>
      </c>
      <c r="K83" s="49">
        <f>計分版!D83</f>
        <v>3.3500000000000002E-9</v>
      </c>
      <c r="L83" s="43">
        <f>入學要求!S67</f>
        <v>0</v>
      </c>
    </row>
    <row r="84" spans="1:12">
      <c r="A84" s="43" t="s">
        <v>120</v>
      </c>
      <c r="B84" s="222" t="s">
        <v>218</v>
      </c>
      <c r="C84" s="43" t="s">
        <v>178</v>
      </c>
      <c r="D84" s="162" t="s">
        <v>214</v>
      </c>
      <c r="E84" s="43">
        <f>8.5+7+5.5+5.5+4</f>
        <v>30.5</v>
      </c>
      <c r="F84" s="43">
        <f>7+5.5+5.5+5.5+5.5</f>
        <v>29</v>
      </c>
      <c r="G84" s="43">
        <f>7+7+5.5+4+4</f>
        <v>27.5</v>
      </c>
      <c r="H84" s="43">
        <v>126</v>
      </c>
      <c r="K84" s="49">
        <f>計分版!D84</f>
        <v>3.9500000000000006E-9</v>
      </c>
      <c r="L84" s="43">
        <f>入學要求!S68</f>
        <v>0</v>
      </c>
    </row>
    <row r="85" spans="1:12">
      <c r="A85" s="43" t="s">
        <v>179</v>
      </c>
      <c r="B85" s="222" t="s">
        <v>218</v>
      </c>
      <c r="C85" s="43" t="s">
        <v>180</v>
      </c>
      <c r="D85" s="162" t="s">
        <v>214</v>
      </c>
      <c r="E85" s="43">
        <f>7*2+7*2+7*1.5+7+7</f>
        <v>52.5</v>
      </c>
      <c r="F85" s="43">
        <f>5.5*2+7*2+8.5*1.5+7+7</f>
        <v>51.75</v>
      </c>
      <c r="G85" s="43">
        <f>5.5*2+7*2+8.5*1.5+7+5.5</f>
        <v>50.25</v>
      </c>
      <c r="H85" s="43">
        <v>37</v>
      </c>
      <c r="K85" s="49">
        <f>計分版!D85</f>
        <v>4.1000000000000003E-9</v>
      </c>
      <c r="L85" s="43">
        <f>入學要求!S69</f>
        <v>0</v>
      </c>
    </row>
    <row r="86" spans="1:12">
      <c r="A86" s="43" t="s">
        <v>121</v>
      </c>
      <c r="B86" s="222" t="s">
        <v>218</v>
      </c>
      <c r="C86" s="43" t="s">
        <v>122</v>
      </c>
      <c r="D86" s="162" t="s">
        <v>215</v>
      </c>
      <c r="E86" s="43">
        <f>7+7+7+4+8.5+7</f>
        <v>40.5</v>
      </c>
      <c r="F86" s="43">
        <f>7+5.5+5.5+7+5.5+5.5</f>
        <v>36</v>
      </c>
      <c r="G86" s="43">
        <f>7+5.5+7+4+7+5.5</f>
        <v>36</v>
      </c>
      <c r="H86" s="43">
        <v>24</v>
      </c>
      <c r="K86" s="49">
        <f>計分版!D86</f>
        <v>2.8499999999999999E-9</v>
      </c>
      <c r="L86" s="43">
        <f>入學要求!S70</f>
        <v>0</v>
      </c>
    </row>
    <row r="87" spans="1:12">
      <c r="A87" s="43" t="s">
        <v>181</v>
      </c>
      <c r="B87" s="222" t="s">
        <v>218</v>
      </c>
      <c r="C87" s="43" t="s">
        <v>182</v>
      </c>
      <c r="D87" s="162" t="s">
        <v>215</v>
      </c>
      <c r="E87" s="43">
        <f>5.5*1.5+7*2+7+7*2+5.5+5.5</f>
        <v>54.25</v>
      </c>
      <c r="F87" s="43">
        <f>5.5*1.5+7*2+7+5.5*2+7+5.5</f>
        <v>52.75</v>
      </c>
      <c r="G87" s="43">
        <f>7*1.5+7*2+4+5.5*2+7+5.5</f>
        <v>52</v>
      </c>
      <c r="H87" s="43">
        <v>25</v>
      </c>
      <c r="K87" s="49">
        <f>計分版!D87</f>
        <v>3.4999999999999999E-9</v>
      </c>
      <c r="L87" s="43">
        <f>入學要求!S71</f>
        <v>0</v>
      </c>
    </row>
    <row r="88" spans="1:12">
      <c r="A88" s="43" t="s">
        <v>123</v>
      </c>
      <c r="B88" s="222" t="s">
        <v>218</v>
      </c>
      <c r="C88" s="43" t="s">
        <v>183</v>
      </c>
      <c r="D88" s="162" t="s">
        <v>214</v>
      </c>
      <c r="E88" s="43">
        <f>5.5*2+8.5*2+7*2+8.5+8.5</f>
        <v>59</v>
      </c>
      <c r="F88" s="43">
        <f>4*2+8.5*2+8.5*2+8.5+8.5</f>
        <v>59</v>
      </c>
      <c r="G88" s="43">
        <f>7*2+8.5*2+5.5*2+8.5+7</f>
        <v>57.5</v>
      </c>
      <c r="H88" s="43">
        <v>20</v>
      </c>
      <c r="K88" s="49">
        <f>計分版!D88</f>
        <v>4.3500000000000001E-9</v>
      </c>
      <c r="L88" s="43">
        <f>入學要求!S72</f>
        <v>0</v>
      </c>
    </row>
    <row r="89" spans="1:12">
      <c r="A89" s="43" t="s">
        <v>124</v>
      </c>
      <c r="B89" s="222" t="s">
        <v>218</v>
      </c>
      <c r="C89" s="43" t="s">
        <v>125</v>
      </c>
      <c r="D89" s="162" t="s">
        <v>215</v>
      </c>
      <c r="E89" s="43" t="s">
        <v>899</v>
      </c>
      <c r="F89" s="43" t="s">
        <v>899</v>
      </c>
      <c r="G89" s="43" t="s">
        <v>899</v>
      </c>
      <c r="H89" s="43">
        <v>20</v>
      </c>
      <c r="K89" s="49">
        <f>計分版!D89</f>
        <v>2.8499999999999999E-9</v>
      </c>
      <c r="L89" s="43">
        <f>入學要求!S73</f>
        <v>0</v>
      </c>
    </row>
    <row r="90" spans="1:12">
      <c r="A90" s="43" t="s">
        <v>126</v>
      </c>
      <c r="B90" s="222" t="s">
        <v>218</v>
      </c>
      <c r="C90" s="43" t="s">
        <v>210</v>
      </c>
      <c r="D90" s="162" t="s">
        <v>214</v>
      </c>
      <c r="E90" s="43">
        <f>7+5.5+5.5+5.5+4</f>
        <v>27.5</v>
      </c>
      <c r="F90" s="43">
        <f>7+5.5+5.5+5.5+4</f>
        <v>27.5</v>
      </c>
      <c r="G90" s="43">
        <f>5.5+5.5+5.5+4+4</f>
        <v>24.5</v>
      </c>
      <c r="H90" s="43">
        <v>24</v>
      </c>
      <c r="K90" s="49">
        <f>計分版!D90</f>
        <v>3.9500000000000006E-9</v>
      </c>
      <c r="L90" s="43">
        <f>入學要求!S74</f>
        <v>0</v>
      </c>
    </row>
    <row r="91" spans="1:12">
      <c r="A91" s="43" t="s">
        <v>127</v>
      </c>
      <c r="B91" s="222" t="s">
        <v>218</v>
      </c>
      <c r="C91" s="43" t="s">
        <v>128</v>
      </c>
      <c r="D91" s="162" t="s">
        <v>214</v>
      </c>
      <c r="E91" s="43">
        <f>8.5*1.5+7+7+5.5+4</f>
        <v>36.25</v>
      </c>
      <c r="F91" s="43">
        <f>8.5*1.5+7+4+4+4</f>
        <v>31.75</v>
      </c>
      <c r="G91" s="43">
        <f>8.5*1.5+5.5+5.5+4+4</f>
        <v>31.75</v>
      </c>
      <c r="H91" s="43">
        <v>20</v>
      </c>
      <c r="K91" s="49">
        <f>計分版!D91</f>
        <v>3.4999999999999999E-9</v>
      </c>
      <c r="L91" s="43">
        <f>入學要求!S75</f>
        <v>0</v>
      </c>
    </row>
    <row r="92" spans="1:12">
      <c r="A92" s="43" t="s">
        <v>129</v>
      </c>
      <c r="B92" s="222" t="s">
        <v>218</v>
      </c>
      <c r="C92" s="43" t="s">
        <v>130</v>
      </c>
      <c r="D92" s="162" t="s">
        <v>214</v>
      </c>
      <c r="E92" s="43">
        <f>7*1.5+7+7+5.5+5.5</f>
        <v>35.5</v>
      </c>
      <c r="F92" s="43">
        <f>8.5*1.5+5.5+5.5+5.5+4</f>
        <v>33.25</v>
      </c>
      <c r="G92" s="43">
        <f>7*1.5+7+5.5+5.5+4</f>
        <v>32.5</v>
      </c>
      <c r="H92" s="43">
        <v>14</v>
      </c>
      <c r="K92" s="49">
        <f>計分版!D92</f>
        <v>3.6500000000000004E-9</v>
      </c>
      <c r="L92" s="43">
        <f>入學要求!S76</f>
        <v>0</v>
      </c>
    </row>
    <row r="93" spans="1:12">
      <c r="A93" s="43" t="s">
        <v>131</v>
      </c>
      <c r="B93" s="222" t="s">
        <v>218</v>
      </c>
      <c r="C93" s="43" t="s">
        <v>132</v>
      </c>
      <c r="D93" s="162" t="s">
        <v>214</v>
      </c>
      <c r="E93" s="43">
        <f>8.5*1.5+7*1.5+7+5*1.2+5.5</f>
        <v>41.75</v>
      </c>
      <c r="F93" s="43">
        <f>7*1.5+5*1.5+7*1.2+5.5+5.5</f>
        <v>37.4</v>
      </c>
      <c r="G93" s="43">
        <f>7*1.5+5*1.5+5*1.2+5.5+4*1.2</f>
        <v>34.299999999999997</v>
      </c>
      <c r="H93" s="43">
        <v>18</v>
      </c>
      <c r="K93" s="49">
        <f>計分版!D93</f>
        <v>3.8499999999999997E-9</v>
      </c>
      <c r="L93" s="43">
        <f>入學要求!S77</f>
        <v>0</v>
      </c>
    </row>
    <row r="94" spans="1:12">
      <c r="A94" s="43" t="s">
        <v>211</v>
      </c>
      <c r="B94" s="222" t="s">
        <v>218</v>
      </c>
      <c r="C94" s="43" t="s">
        <v>206</v>
      </c>
      <c r="D94" s="162" t="s">
        <v>214</v>
      </c>
      <c r="E94" s="43">
        <f>7+5.5+5.5+5.5+4</f>
        <v>27.5</v>
      </c>
      <c r="F94" s="43">
        <f>7+5.5+4+4+4</f>
        <v>24.5</v>
      </c>
      <c r="G94" s="43">
        <f>5.5+5.5+4+4+4</f>
        <v>23</v>
      </c>
      <c r="H94" s="43">
        <v>21</v>
      </c>
      <c r="K94" s="49">
        <f>計分版!D94</f>
        <v>3.9500000000000006E-9</v>
      </c>
      <c r="L94" s="43">
        <f>入學要求!S78</f>
        <v>0</v>
      </c>
    </row>
    <row r="95" spans="1:12">
      <c r="A95" s="43" t="s">
        <v>133</v>
      </c>
      <c r="B95" s="222" t="s">
        <v>218</v>
      </c>
      <c r="C95" s="43" t="s">
        <v>216</v>
      </c>
      <c r="D95" s="162" t="s">
        <v>214</v>
      </c>
      <c r="E95" s="43">
        <f>7*1.5+5.5*1.5+4*1.5+4+4</f>
        <v>32.75</v>
      </c>
      <c r="F95" s="43">
        <f>5.5*1.5+5.5*1.5+3*1.75+3*1.5+4</f>
        <v>30.25</v>
      </c>
      <c r="G95" s="43">
        <f>5.5*1.5+4*1.5+4*1.5+4+4</f>
        <v>28.25</v>
      </c>
      <c r="H95" s="43">
        <v>304</v>
      </c>
      <c r="K95" s="49">
        <f>計分版!D95</f>
        <v>4.2249999999999998E-9</v>
      </c>
      <c r="L95" s="43">
        <f>入學要求!S79</f>
        <v>0</v>
      </c>
    </row>
    <row r="96" spans="1:12">
      <c r="A96" s="43" t="s">
        <v>184</v>
      </c>
      <c r="B96" s="222" t="s">
        <v>218</v>
      </c>
      <c r="C96" s="43" t="s">
        <v>185</v>
      </c>
      <c r="D96" s="162" t="s">
        <v>214</v>
      </c>
      <c r="E96" s="43">
        <f>7*1.75+7*1.5+7*1.5+5.5*1.75+5.5*1.5</f>
        <v>51.125</v>
      </c>
      <c r="F96" s="43">
        <f>8.5*1.5+7*1.75+7*1.75+4*1.5+4</f>
        <v>47.25</v>
      </c>
      <c r="G96" s="43">
        <f>8.5*1.75+5.5*1.75+5.5*1.5+5.5*1.5+4*1.25</f>
        <v>46</v>
      </c>
      <c r="H96" s="43">
        <v>30</v>
      </c>
      <c r="K96" s="49">
        <f>計分版!D96</f>
        <v>4.2249999999999998E-9</v>
      </c>
      <c r="L96" s="43">
        <f>入學要求!S80</f>
        <v>0</v>
      </c>
    </row>
    <row r="97" spans="1:22">
      <c r="A97" s="43" t="s">
        <v>186</v>
      </c>
      <c r="B97" s="222" t="s">
        <v>218</v>
      </c>
      <c r="C97" s="43" t="s">
        <v>187</v>
      </c>
      <c r="D97" s="162" t="s">
        <v>214</v>
      </c>
      <c r="E97" s="43">
        <f>7*1.5+5.5*1.5+5.5+4+4</f>
        <v>32.25</v>
      </c>
      <c r="F97" s="43">
        <f>5.5*1.5+5.5*1.5+4+4+4</f>
        <v>28.5</v>
      </c>
      <c r="G97" s="43">
        <f>4*1.5+4*1.5+5.5+4+4</f>
        <v>25.5</v>
      </c>
      <c r="H97" s="43">
        <v>57</v>
      </c>
      <c r="K97" s="49">
        <f>計分版!D97</f>
        <v>4.1000000000000003E-9</v>
      </c>
      <c r="L97" s="43">
        <f>入學要求!S81</f>
        <v>0</v>
      </c>
    </row>
    <row r="98" spans="1:22">
      <c r="A98" s="43" t="s">
        <v>188</v>
      </c>
      <c r="B98" s="222" t="s">
        <v>218</v>
      </c>
      <c r="C98" s="43" t="s">
        <v>189</v>
      </c>
      <c r="D98" s="162" t="s">
        <v>214</v>
      </c>
      <c r="E98" s="43">
        <f>7*1.5+7*1.5+5.5*1.5+4*1.5+5.5*1.5</f>
        <v>43.5</v>
      </c>
      <c r="F98" s="43">
        <f>5.5*1.5+7*1.5+7*1.5+5.5*1.5+5.5</f>
        <v>43</v>
      </c>
      <c r="G98" s="43">
        <f>5.5*1.5+5.5*1.5+7*1.5+7*1.5+5.5</f>
        <v>43</v>
      </c>
      <c r="H98" s="43">
        <v>49</v>
      </c>
      <c r="K98" s="49">
        <f>計分版!D98</f>
        <v>4.1000000000000003E-9</v>
      </c>
      <c r="L98" s="43">
        <f>入學要求!S82</f>
        <v>0</v>
      </c>
    </row>
    <row r="99" spans="1:22">
      <c r="A99" s="43" t="s">
        <v>190</v>
      </c>
      <c r="B99" s="222" t="s">
        <v>218</v>
      </c>
      <c r="C99" s="43" t="s">
        <v>191</v>
      </c>
      <c r="D99" s="162" t="s">
        <v>214</v>
      </c>
      <c r="E99" s="43">
        <f>5.5*1.5+5.5*1.5+5.5*1.5+5.5+4</f>
        <v>34.25</v>
      </c>
      <c r="F99" s="43">
        <f>7*1.5+5.5*1.5+5.5+3*1.5+3</f>
        <v>31.75</v>
      </c>
      <c r="G99" s="43">
        <f>4*1.5+4*1.5+4*1.5+4*1.5+5.5</f>
        <v>29.5</v>
      </c>
      <c r="H99" s="43">
        <v>35</v>
      </c>
      <c r="K99" s="49">
        <f>計分版!D99</f>
        <v>4.1000000000000003E-9</v>
      </c>
      <c r="L99" s="43">
        <f>入學要求!S83</f>
        <v>0</v>
      </c>
    </row>
    <row r="100" spans="1:22">
      <c r="A100" s="43" t="s">
        <v>212</v>
      </c>
      <c r="B100" s="222" t="s">
        <v>218</v>
      </c>
      <c r="C100" s="43" t="s">
        <v>217</v>
      </c>
      <c r="D100" s="162" t="s">
        <v>214</v>
      </c>
      <c r="E100" s="43">
        <f>7*1.5+7*1.5+7*1.5+7*1.75+7*1.25</f>
        <v>52.5</v>
      </c>
      <c r="F100" s="43">
        <f>8.5*1.5+7*1.5+5.5*1.5+7*1.75+7*1.25</f>
        <v>52.5</v>
      </c>
      <c r="G100" s="43">
        <f>8.5*1.5+5.5*1.5+5.5*1.5+7*1.75+4*1.25</f>
        <v>46.5</v>
      </c>
      <c r="H100" s="43">
        <v>30</v>
      </c>
      <c r="K100" s="49">
        <f>計分版!D100</f>
        <v>4.2249999999999998E-9</v>
      </c>
      <c r="L100" s="43">
        <f>入學要求!S84</f>
        <v>0</v>
      </c>
      <c r="R100" s="57"/>
    </row>
    <row r="101" spans="1:22">
      <c r="A101" s="43" t="s">
        <v>134</v>
      </c>
      <c r="B101" s="222" t="s">
        <v>218</v>
      </c>
      <c r="C101" s="43" t="s">
        <v>192</v>
      </c>
      <c r="D101" s="162" t="s">
        <v>395</v>
      </c>
      <c r="E101" s="43">
        <f>6+6+7+5+7+7+6</f>
        <v>44</v>
      </c>
      <c r="F101" s="43">
        <f>6+6+6+6+7+6+6</f>
        <v>43</v>
      </c>
      <c r="G101" s="43">
        <f>7+6+6+5+6+6+5</f>
        <v>41</v>
      </c>
      <c r="H101" s="43" t="s">
        <v>1179</v>
      </c>
      <c r="K101" s="49">
        <f>計分版!D101</f>
        <v>3.4000000000000003E-9</v>
      </c>
      <c r="L101" s="43">
        <f>入學要求!S85</f>
        <v>0</v>
      </c>
      <c r="R101" s="57"/>
    </row>
    <row r="102" spans="1:22">
      <c r="A102" s="43" t="s">
        <v>135</v>
      </c>
      <c r="B102" s="222" t="s">
        <v>218</v>
      </c>
      <c r="C102" s="43" t="s">
        <v>193</v>
      </c>
      <c r="D102" s="162" t="s">
        <v>395</v>
      </c>
      <c r="E102" s="43">
        <f>7+7+7+7+7+6+(6+7)/2</f>
        <v>47.5</v>
      </c>
      <c r="F102" s="43">
        <f>7+6+7+6+7+7+(7+6)/2</f>
        <v>46.5</v>
      </c>
      <c r="G102" s="43">
        <f>7+7+7+6+7+6+6</f>
        <v>46</v>
      </c>
      <c r="H102" s="43" t="s">
        <v>1178</v>
      </c>
      <c r="K102" s="49">
        <f>計分版!D102</f>
        <v>3.4000000000000003E-9</v>
      </c>
      <c r="L102" s="43">
        <f>入學要求!S86</f>
        <v>0</v>
      </c>
    </row>
    <row r="103" spans="1:22">
      <c r="A103" s="43" t="s">
        <v>136</v>
      </c>
      <c r="B103" s="222" t="s">
        <v>218</v>
      </c>
      <c r="C103" s="43" t="s">
        <v>137</v>
      </c>
      <c r="D103" s="162" t="s">
        <v>215</v>
      </c>
      <c r="E103" s="43">
        <f>4+4+7+4+7*1.5+5.5*1.5</f>
        <v>37.75</v>
      </c>
      <c r="F103" s="43">
        <f>8.5+3+4+4+7*1.5+5.5*1.5</f>
        <v>38.25</v>
      </c>
      <c r="G103" s="43">
        <f>8.5+4+5.5+5.5+4*1.5+4*1.5</f>
        <v>35.5</v>
      </c>
      <c r="H103" s="43">
        <v>217</v>
      </c>
      <c r="K103" s="49">
        <f>計分版!D103</f>
        <v>2.7000000000000002E-9</v>
      </c>
      <c r="L103" s="43">
        <f>入學要求!S87</f>
        <v>0</v>
      </c>
    </row>
    <row r="104" spans="1:22">
      <c r="A104" s="43" t="s">
        <v>138</v>
      </c>
      <c r="B104" s="222" t="s">
        <v>218</v>
      </c>
      <c r="C104" s="43" t="s">
        <v>139</v>
      </c>
      <c r="D104" s="162" t="s">
        <v>215</v>
      </c>
      <c r="E104" s="43">
        <f>7+4+8.5+4+8.5+8.5</f>
        <v>40.5</v>
      </c>
      <c r="F104" s="43">
        <f>4+5.5+7+7+8.5+7</f>
        <v>39</v>
      </c>
      <c r="G104" s="43">
        <f>5.5+5.5+7+4+8.5+7</f>
        <v>37.5</v>
      </c>
      <c r="H104" s="43">
        <v>61</v>
      </c>
      <c r="K104" s="49">
        <f>計分版!D104</f>
        <v>2.8499999999999999E-9</v>
      </c>
      <c r="L104" s="43">
        <f>入學要求!S88</f>
        <v>0</v>
      </c>
    </row>
    <row r="105" spans="1:22">
      <c r="A105" s="43" t="s">
        <v>140</v>
      </c>
      <c r="B105" s="222" t="s">
        <v>218</v>
      </c>
      <c r="C105" s="43" t="s">
        <v>141</v>
      </c>
      <c r="D105" s="162" t="s">
        <v>214</v>
      </c>
      <c r="E105" s="43">
        <f>5.5+5.5+5.5+5.5+5.5</f>
        <v>27.5</v>
      </c>
      <c r="F105" s="43">
        <f>7+5.5+5.5+4+4</f>
        <v>26</v>
      </c>
      <c r="G105" s="43">
        <f>5.5+4+4+4+4</f>
        <v>21.5</v>
      </c>
      <c r="H105" s="43">
        <v>32</v>
      </c>
      <c r="K105" s="49">
        <f>計分版!D105</f>
        <v>3.9500000000000006E-9</v>
      </c>
      <c r="L105" s="43">
        <f>入學要求!S89</f>
        <v>0</v>
      </c>
    </row>
    <row r="106" spans="1:22">
      <c r="A106" s="43" t="s">
        <v>142</v>
      </c>
      <c r="B106" s="222" t="s">
        <v>218</v>
      </c>
      <c r="C106" s="43" t="s">
        <v>143</v>
      </c>
      <c r="D106" s="162" t="s">
        <v>215</v>
      </c>
      <c r="E106" s="43">
        <f>7+3+5.5+4+8.5+8.5</f>
        <v>36.5</v>
      </c>
      <c r="F106" s="43">
        <f>4+5.5+7+4+7+7</f>
        <v>34.5</v>
      </c>
      <c r="G106" s="43">
        <f>5.5+3+5.5+8.5+5.5+5.5</f>
        <v>33.5</v>
      </c>
      <c r="H106" s="43">
        <v>25</v>
      </c>
      <c r="K106" s="49">
        <f>計分版!D106</f>
        <v>2.8499999999999999E-9</v>
      </c>
      <c r="L106" s="43">
        <f>入學要求!S90</f>
        <v>0</v>
      </c>
    </row>
    <row r="107" spans="1:22">
      <c r="A107" s="43" t="s">
        <v>194</v>
      </c>
      <c r="B107" s="222" t="s">
        <v>218</v>
      </c>
      <c r="C107" s="43" t="s">
        <v>195</v>
      </c>
      <c r="D107" s="162" t="s">
        <v>215</v>
      </c>
      <c r="E107" s="43">
        <f>5.5+5.5+8.5+4+7+7</f>
        <v>37.5</v>
      </c>
      <c r="F107" s="43">
        <f>5.5+5.5+7+5.5+7+7</f>
        <v>37.5</v>
      </c>
      <c r="G107" s="43">
        <f>8.5+5.5+7+5.5+5.5+5.5</f>
        <v>37.5</v>
      </c>
      <c r="H107" s="43">
        <v>20</v>
      </c>
      <c r="K107" s="49">
        <f>計分版!D107</f>
        <v>2.8499999999999999E-9</v>
      </c>
      <c r="L107" s="43">
        <f>入學要求!S91</f>
        <v>0</v>
      </c>
    </row>
    <row r="108" spans="1:22">
      <c r="A108" s="43" t="s">
        <v>144</v>
      </c>
      <c r="B108" s="222" t="s">
        <v>218</v>
      </c>
      <c r="C108" s="43" t="s">
        <v>145</v>
      </c>
      <c r="D108" s="162" t="s">
        <v>214</v>
      </c>
      <c r="E108" s="43">
        <f>5.5*2+5.5*2+5.5*2+4+7</f>
        <v>44</v>
      </c>
      <c r="F108" s="43">
        <f>5.5*2+5.5*2+7*1.5+4+4</f>
        <v>40.5</v>
      </c>
      <c r="G108" s="43">
        <f>5.5*2+5.5*2+4*2+4+4</f>
        <v>38</v>
      </c>
      <c r="H108" s="43">
        <v>374</v>
      </c>
      <c r="K108" s="49">
        <f>計分版!D108</f>
        <v>4.3500000000000001E-9</v>
      </c>
      <c r="L108" s="43">
        <f>入學要求!S92</f>
        <v>0</v>
      </c>
    </row>
    <row r="109" spans="1:22">
      <c r="A109" s="43" t="s">
        <v>196</v>
      </c>
      <c r="B109" s="222" t="s">
        <v>218</v>
      </c>
      <c r="C109" s="43" t="s">
        <v>197</v>
      </c>
      <c r="D109" s="162" t="s">
        <v>214</v>
      </c>
      <c r="E109" s="43">
        <f>7*1.5+7*1.5+7*1.5+5.5*1.5+5.5*1.5</f>
        <v>48</v>
      </c>
      <c r="F109" s="43">
        <f>7*1.5+5.5*1.5+5.5*1.5+5.5*1.5+5.5*1.5</f>
        <v>43.5</v>
      </c>
      <c r="G109" s="43">
        <f>7*1.5+5.5*1.5+5.5*1.5+5.5*1.5+5.5*1.5</f>
        <v>43.5</v>
      </c>
      <c r="H109" s="43">
        <v>20</v>
      </c>
      <c r="K109" s="49">
        <f>計分版!D109</f>
        <v>4.1000000000000003E-9</v>
      </c>
      <c r="L109" s="43">
        <f>入學要求!S93</f>
        <v>0</v>
      </c>
    </row>
    <row r="110" spans="1:22">
      <c r="A110" s="43" t="s">
        <v>146</v>
      </c>
      <c r="B110" s="222" t="s">
        <v>218</v>
      </c>
      <c r="C110" s="43" t="s">
        <v>198</v>
      </c>
      <c r="D110" s="162" t="s">
        <v>214</v>
      </c>
      <c r="E110" s="43">
        <f>8.5*2+8.5+7+7+5.5</f>
        <v>45</v>
      </c>
      <c r="F110" s="43">
        <f>8.5*2+8.5+7+5.5+5.5</f>
        <v>43.5</v>
      </c>
      <c r="G110" s="43">
        <f>8.5*2+8.5+7+5.5+4</f>
        <v>42</v>
      </c>
      <c r="H110" s="43">
        <v>27</v>
      </c>
      <c r="K110" s="49">
        <f>計分版!D110</f>
        <v>4.3500000000000001E-9</v>
      </c>
      <c r="L110" s="43">
        <f>入學要求!S94</f>
        <v>0</v>
      </c>
    </row>
    <row r="111" spans="1:22">
      <c r="A111" s="43" t="s">
        <v>147</v>
      </c>
      <c r="B111" s="222" t="s">
        <v>218</v>
      </c>
      <c r="C111" s="43" t="s">
        <v>199</v>
      </c>
      <c r="D111" s="162" t="s">
        <v>214</v>
      </c>
      <c r="E111" s="43">
        <f>8.5*1.5+8.5*1.5+7*1.5+5.5+5.5</f>
        <v>47</v>
      </c>
      <c r="F111" s="43">
        <f>7*1.5+7*1.5+7*1.5+7+7</f>
        <v>45.5</v>
      </c>
      <c r="G111" s="43">
        <f>7*1.5+7*1.5+7*1.5+7+5.5</f>
        <v>44</v>
      </c>
      <c r="H111" s="43">
        <v>20</v>
      </c>
      <c r="K111" s="49">
        <f>計分版!D111</f>
        <v>4.1000000000000003E-9</v>
      </c>
      <c r="L111" s="43">
        <f>入學要求!S95</f>
        <v>0</v>
      </c>
    </row>
    <row r="112" spans="1:22">
      <c r="A112" s="49" t="s">
        <v>148</v>
      </c>
      <c r="B112" s="222" t="s">
        <v>218</v>
      </c>
      <c r="C112" s="49" t="s">
        <v>149</v>
      </c>
      <c r="D112" s="204" t="s">
        <v>214</v>
      </c>
      <c r="E112" s="49">
        <f>8.5*2+5.5*2+5.5+5.5+5.5</f>
        <v>44.5</v>
      </c>
      <c r="F112" s="49">
        <f>7*2+7*2+5.5+5.5+4</f>
        <v>43</v>
      </c>
      <c r="G112" s="49">
        <f>5.5*2+7*2+5.5+5.5+5.5</f>
        <v>41.5</v>
      </c>
      <c r="H112" s="43">
        <v>26</v>
      </c>
      <c r="I112" s="49"/>
      <c r="J112" s="49"/>
      <c r="K112" s="49">
        <f>計分版!D112</f>
        <v>4.3500000000000001E-9</v>
      </c>
      <c r="L112" s="43">
        <f>入學要求!S96</f>
        <v>0</v>
      </c>
      <c r="M112" s="217"/>
      <c r="N112" s="217"/>
      <c r="O112" s="49"/>
      <c r="P112" s="49"/>
      <c r="Q112" s="49"/>
      <c r="R112" s="49"/>
      <c r="S112" s="49"/>
      <c r="T112" s="49"/>
      <c r="U112" s="49"/>
      <c r="V112" s="49"/>
    </row>
    <row r="113" spans="1:23">
      <c r="A113" s="49" t="s">
        <v>150</v>
      </c>
      <c r="B113" s="222" t="s">
        <v>218</v>
      </c>
      <c r="C113" s="49" t="s">
        <v>151</v>
      </c>
      <c r="D113" s="204" t="s">
        <v>214</v>
      </c>
      <c r="E113" s="49">
        <f>8.5+7+5.5+5.5+4*1.3</f>
        <v>31.7</v>
      </c>
      <c r="F113" s="49">
        <f>7+7+5.5*1.3+5.5+4</f>
        <v>30.65</v>
      </c>
      <c r="G113" s="49">
        <f>7+7+5.5+5.5+4*1.3</f>
        <v>30.2</v>
      </c>
      <c r="H113" s="49">
        <v>65</v>
      </c>
      <c r="I113" s="49"/>
      <c r="J113" s="49"/>
      <c r="K113" s="49">
        <f>計分版!D113</f>
        <v>3.9500000000000006E-9</v>
      </c>
      <c r="L113" s="43">
        <f>入學要求!S97</f>
        <v>0</v>
      </c>
      <c r="M113" s="217"/>
      <c r="N113" s="217"/>
      <c r="O113" s="49"/>
      <c r="P113" s="49"/>
      <c r="Q113" s="49"/>
      <c r="R113" s="49"/>
      <c r="S113" s="49"/>
      <c r="T113" s="49"/>
      <c r="U113" s="49"/>
      <c r="V113" s="49"/>
    </row>
    <row r="114" spans="1:23">
      <c r="A114" s="49" t="s">
        <v>152</v>
      </c>
      <c r="B114" s="222" t="s">
        <v>218</v>
      </c>
      <c r="C114" s="49" t="s">
        <v>153</v>
      </c>
      <c r="D114" s="204" t="s">
        <v>214</v>
      </c>
      <c r="E114" s="49">
        <f>7*1.5+5.5*1.5+7+7+5.5</f>
        <v>38.25</v>
      </c>
      <c r="F114" s="49">
        <f>7*1.5+5.5*1.5+7+5.5+4</f>
        <v>35.25</v>
      </c>
      <c r="G114" s="49">
        <f>8.5+5.5*1.5+4*1.5+5.5+5.5</f>
        <v>33.75</v>
      </c>
      <c r="H114" s="49">
        <v>32</v>
      </c>
      <c r="I114" s="49"/>
      <c r="J114" s="49"/>
      <c r="K114" s="49">
        <f>計分版!D114</f>
        <v>3.9500000000000006E-9</v>
      </c>
      <c r="L114" s="43">
        <f>入學要求!S98</f>
        <v>0</v>
      </c>
      <c r="M114" s="217"/>
      <c r="N114" s="217"/>
      <c r="O114" s="49"/>
      <c r="P114" s="49"/>
      <c r="Q114" s="49"/>
      <c r="R114" s="49"/>
      <c r="S114" s="49"/>
      <c r="T114" s="49"/>
      <c r="U114" s="49"/>
      <c r="V114" s="49"/>
    </row>
    <row r="115" spans="1:23">
      <c r="A115" s="49" t="s">
        <v>154</v>
      </c>
      <c r="B115" s="222" t="s">
        <v>218</v>
      </c>
      <c r="C115" s="49" t="s">
        <v>200</v>
      </c>
      <c r="D115" s="204" t="s">
        <v>214</v>
      </c>
      <c r="E115" s="49">
        <f>5.5*1.5+8.5+4*1.5+5.5+4</f>
        <v>32.25</v>
      </c>
      <c r="F115" s="49">
        <f>4*1.5+5.5*1.5+5.5+5.5+5.5</f>
        <v>30.75</v>
      </c>
      <c r="G115" s="49">
        <f>5.5*1.5+5.5*1.5+5.5+4+4</f>
        <v>30</v>
      </c>
      <c r="H115" s="49">
        <v>67</v>
      </c>
      <c r="I115" s="49"/>
      <c r="J115" s="49"/>
      <c r="K115" s="49">
        <f>計分版!D115</f>
        <v>4.1000000000000003E-9</v>
      </c>
      <c r="L115" s="43">
        <f>入學要求!S99</f>
        <v>0</v>
      </c>
      <c r="M115" s="217"/>
      <c r="N115" s="217"/>
      <c r="O115" s="49"/>
      <c r="P115" s="49"/>
      <c r="Q115" s="49"/>
      <c r="R115" s="49"/>
      <c r="S115" s="49"/>
      <c r="T115" s="49"/>
      <c r="U115" s="49"/>
      <c r="V115" s="49"/>
    </row>
    <row r="116" spans="1:23">
      <c r="A116" s="49" t="s">
        <v>155</v>
      </c>
      <c r="B116" s="222" t="s">
        <v>218</v>
      </c>
      <c r="C116" s="49" t="s">
        <v>201</v>
      </c>
      <c r="D116" s="204" t="s">
        <v>214</v>
      </c>
      <c r="E116" s="49">
        <f>8.5+7+7+4*1.5+5.5</f>
        <v>34</v>
      </c>
      <c r="F116" s="49">
        <f>8.5+4*1.5+5.5+5.5+5.5</f>
        <v>31</v>
      </c>
      <c r="G116" s="49">
        <f>7+4*1.5+5.5+5.5+5.5</f>
        <v>29.5</v>
      </c>
      <c r="H116" s="49">
        <v>40</v>
      </c>
      <c r="I116" s="49"/>
      <c r="J116" s="49"/>
      <c r="K116" s="49">
        <f>計分版!D116</f>
        <v>3.9500000000000006E-9</v>
      </c>
      <c r="L116" s="43">
        <f>入學要求!S100</f>
        <v>0</v>
      </c>
      <c r="M116" s="217"/>
      <c r="N116" s="217"/>
      <c r="O116" s="49"/>
      <c r="P116" s="49"/>
      <c r="Q116" s="49"/>
      <c r="R116" s="49"/>
      <c r="S116" s="49"/>
      <c r="T116" s="49"/>
      <c r="U116" s="49"/>
      <c r="V116" s="49"/>
      <c r="W116" s="40"/>
    </row>
    <row r="117" spans="1:23">
      <c r="A117" s="49" t="s">
        <v>156</v>
      </c>
      <c r="B117" s="222" t="s">
        <v>218</v>
      </c>
      <c r="C117" s="49" t="s">
        <v>157</v>
      </c>
      <c r="D117" s="204" t="s">
        <v>214</v>
      </c>
      <c r="E117" s="49">
        <f>7+5.5+5.5+5.5+5.5</f>
        <v>29</v>
      </c>
      <c r="F117" s="49">
        <f>5.5+5.5+5.5+5.5+5.5</f>
        <v>27.5</v>
      </c>
      <c r="G117" s="49">
        <f>7+5.5+5.5+4+4</f>
        <v>26</v>
      </c>
      <c r="H117" s="49">
        <v>20</v>
      </c>
      <c r="I117" s="49"/>
      <c r="J117" s="49"/>
      <c r="K117" s="49">
        <f>計分版!D117</f>
        <v>3.9500000000000006E-9</v>
      </c>
      <c r="L117" s="43">
        <f>入學要求!S101</f>
        <v>0</v>
      </c>
      <c r="M117" s="217"/>
      <c r="N117" s="217"/>
      <c r="O117" s="49"/>
      <c r="P117" s="49"/>
      <c r="Q117" s="49"/>
      <c r="R117" s="49"/>
      <c r="S117" s="49"/>
      <c r="T117" s="49"/>
      <c r="U117" s="49"/>
      <c r="V117" s="49"/>
      <c r="W117" s="40"/>
    </row>
    <row r="118" spans="1:23">
      <c r="A118" s="49" t="s">
        <v>158</v>
      </c>
      <c r="B118" s="222" t="s">
        <v>218</v>
      </c>
      <c r="C118" s="49" t="s">
        <v>159</v>
      </c>
      <c r="D118" s="204" t="s">
        <v>215</v>
      </c>
      <c r="E118" s="49">
        <f>4*1.25+5.5*1.5+4+5.5*1.25+8.5+7</f>
        <v>39.625</v>
      </c>
      <c r="F118" s="49">
        <f>5.5*1.25+5.5*1.5+7+4*1.25+7+3</f>
        <v>37.125</v>
      </c>
      <c r="G118" s="49">
        <f>5.5*1.25+4*1.5+4+5*1.25+7+4</f>
        <v>34.125</v>
      </c>
      <c r="H118" s="49">
        <v>38</v>
      </c>
      <c r="I118" s="49"/>
      <c r="J118" s="49"/>
      <c r="K118" s="49">
        <f>計分版!D118</f>
        <v>3.0750000000000002E-9</v>
      </c>
      <c r="L118" s="43">
        <f>入學要求!S102</f>
        <v>0</v>
      </c>
      <c r="M118" s="217"/>
      <c r="N118" s="217"/>
      <c r="O118" s="49"/>
      <c r="P118" s="49"/>
      <c r="Q118" s="49"/>
      <c r="R118" s="49"/>
      <c r="S118" s="49"/>
      <c r="T118" s="49"/>
      <c r="U118" s="49"/>
      <c r="V118" s="49"/>
      <c r="W118" s="40"/>
    </row>
    <row r="119" spans="1:23">
      <c r="A119" s="49" t="s">
        <v>160</v>
      </c>
      <c r="B119" s="222" t="s">
        <v>218</v>
      </c>
      <c r="C119" s="49" t="s">
        <v>161</v>
      </c>
      <c r="D119" s="204" t="s">
        <v>214</v>
      </c>
      <c r="E119" s="49">
        <f>8.5+7+7+7*1.3+5.5*1.3</f>
        <v>38.75</v>
      </c>
      <c r="F119" s="49">
        <f>8.5+8.5+7*1.3+4*1.3+5.5</f>
        <v>36.799999999999997</v>
      </c>
      <c r="G119" s="49">
        <f>8.5+7+7*1.3+5.5+4*1.3</f>
        <v>35.300000000000004</v>
      </c>
      <c r="H119" s="49">
        <v>43</v>
      </c>
      <c r="I119" s="49"/>
      <c r="J119" s="49"/>
      <c r="K119" s="49">
        <f>計分版!D119</f>
        <v>3.9500000000000006E-9</v>
      </c>
      <c r="L119" s="43">
        <f>入學要求!S103</f>
        <v>0</v>
      </c>
      <c r="M119" s="217"/>
      <c r="N119" s="217"/>
      <c r="O119" s="49"/>
      <c r="P119" s="49"/>
      <c r="Q119" s="49"/>
      <c r="R119" s="49"/>
      <c r="S119" s="49"/>
      <c r="T119" s="49"/>
      <c r="U119" s="49"/>
      <c r="V119" s="49"/>
      <c r="W119" s="40"/>
    </row>
    <row r="120" spans="1:23">
      <c r="A120" s="49" t="s">
        <v>202</v>
      </c>
      <c r="B120" s="222" t="s">
        <v>218</v>
      </c>
      <c r="C120" s="49" t="s">
        <v>203</v>
      </c>
      <c r="D120" s="204" t="s">
        <v>214</v>
      </c>
      <c r="E120" s="49">
        <f>8.5+7+7+7+7*1.3</f>
        <v>38.6</v>
      </c>
      <c r="F120" s="49">
        <f>8.5*1.3+8.5+7+5.5+4</f>
        <v>36.049999999999997</v>
      </c>
      <c r="G120" s="49">
        <f>8.5*1.3+7+5.5+5.5+5.5</f>
        <v>34.549999999999997</v>
      </c>
      <c r="H120" s="49">
        <v>18</v>
      </c>
      <c r="I120" s="49"/>
      <c r="J120" s="49"/>
      <c r="K120" s="49">
        <f>計分版!D120</f>
        <v>3.9500000000000006E-9</v>
      </c>
      <c r="L120" s="43">
        <f>入學要求!S104</f>
        <v>0</v>
      </c>
      <c r="M120" s="217"/>
      <c r="N120" s="217"/>
      <c r="O120" s="49"/>
      <c r="P120" s="49"/>
      <c r="Q120" s="49"/>
      <c r="R120" s="49"/>
      <c r="S120" s="49"/>
      <c r="T120" s="49"/>
      <c r="U120" s="49"/>
      <c r="V120" s="49"/>
      <c r="W120" s="40"/>
    </row>
    <row r="121" spans="1:23">
      <c r="A121" s="49" t="s">
        <v>162</v>
      </c>
      <c r="B121" s="222" t="s">
        <v>218</v>
      </c>
      <c r="C121" s="49" t="s">
        <v>163</v>
      </c>
      <c r="D121" s="204" t="s">
        <v>214</v>
      </c>
      <c r="E121" s="49">
        <f>8.5+7*1.5+5.5*1.5+7+5.5</f>
        <v>39.75</v>
      </c>
      <c r="F121" s="49">
        <f>7*1.5+7+5.5*1.5+5.5+5.5</f>
        <v>36.75</v>
      </c>
      <c r="G121" s="49">
        <f>5.5*1.5+5.5*1.5+7+5.5+5.5</f>
        <v>34.5</v>
      </c>
      <c r="H121" s="49">
        <v>54</v>
      </c>
      <c r="I121" s="49"/>
      <c r="J121" s="49"/>
      <c r="K121" s="49">
        <f>計分版!D121</f>
        <v>3.9500000000000006E-9</v>
      </c>
      <c r="L121" s="43">
        <f>入學要求!S105</f>
        <v>0</v>
      </c>
      <c r="M121" s="217"/>
      <c r="N121" s="217"/>
      <c r="O121" s="49"/>
      <c r="P121" s="49"/>
      <c r="Q121" s="49"/>
      <c r="R121" s="49"/>
      <c r="S121" s="49"/>
      <c r="T121" s="49"/>
      <c r="U121" s="49"/>
      <c r="V121" s="49"/>
      <c r="W121" s="40"/>
    </row>
    <row r="122" spans="1:23">
      <c r="A122" s="49" t="s">
        <v>164</v>
      </c>
      <c r="B122" s="222" t="s">
        <v>218</v>
      </c>
      <c r="C122" s="49" t="s">
        <v>165</v>
      </c>
      <c r="D122" s="204" t="s">
        <v>214</v>
      </c>
      <c r="E122" s="49">
        <f>8.5+7+7+4+4</f>
        <v>30.5</v>
      </c>
      <c r="F122" s="49">
        <f>7+5.5+5.5+5.5+5.5</f>
        <v>29</v>
      </c>
      <c r="G122" s="49">
        <f>7+7+5.5+4+4</f>
        <v>27.5</v>
      </c>
      <c r="H122" s="49">
        <v>46</v>
      </c>
      <c r="I122" s="49"/>
      <c r="J122" s="49"/>
      <c r="K122" s="49">
        <f>計分版!D122</f>
        <v>3.9500000000000006E-9</v>
      </c>
      <c r="L122" s="43">
        <f>入學要求!S106</f>
        <v>0</v>
      </c>
      <c r="M122" s="217"/>
      <c r="N122" s="217"/>
      <c r="O122" s="49"/>
      <c r="P122" s="49"/>
      <c r="Q122" s="49"/>
      <c r="R122" s="49"/>
      <c r="S122" s="49"/>
      <c r="T122" s="49"/>
      <c r="U122" s="49"/>
      <c r="V122" s="49"/>
    </row>
    <row r="123" spans="1:23">
      <c r="A123" s="43" t="s">
        <v>166</v>
      </c>
      <c r="B123" s="222" t="s">
        <v>218</v>
      </c>
      <c r="C123" s="43" t="s">
        <v>167</v>
      </c>
      <c r="D123" s="162" t="s">
        <v>214</v>
      </c>
      <c r="E123" s="43">
        <f>5*1.5+7+4*1.5+5.5+5.5</f>
        <v>31.5</v>
      </c>
      <c r="F123" s="43">
        <f>7*1.5+4*1.5+5.5+5.5+4</f>
        <v>31.5</v>
      </c>
      <c r="G123" s="43">
        <f>5.5*1.5+4*1.5+5.5+7+4</f>
        <v>30.75</v>
      </c>
      <c r="H123" s="49">
        <v>39</v>
      </c>
      <c r="K123" s="49">
        <f>計分版!D123</f>
        <v>3.9500000000000006E-9</v>
      </c>
      <c r="L123" s="43">
        <f>入學要求!S107</f>
        <v>0</v>
      </c>
    </row>
    <row r="124" spans="1:23">
      <c r="A124" s="43" t="s">
        <v>204</v>
      </c>
      <c r="B124" s="222" t="s">
        <v>218</v>
      </c>
      <c r="C124" s="43" t="s">
        <v>205</v>
      </c>
      <c r="D124" s="162" t="s">
        <v>214</v>
      </c>
      <c r="E124" s="43">
        <f>7*1.5+7+5.5+5.5+5.5</f>
        <v>34</v>
      </c>
      <c r="F124" s="43">
        <f>5*1.5+8.5+5.5+5.5+5.5</f>
        <v>32.5</v>
      </c>
      <c r="G124" s="43">
        <f>7+7+4*1.5+4+4</f>
        <v>28</v>
      </c>
      <c r="H124" s="43">
        <v>20</v>
      </c>
      <c r="K124" s="49">
        <f>計分版!D124</f>
        <v>3.9500000000000006E-9</v>
      </c>
      <c r="L124" s="43">
        <f>入學要求!S108</f>
        <v>0</v>
      </c>
    </row>
    <row r="125" spans="1:23">
      <c r="A125" s="43" t="s">
        <v>213</v>
      </c>
      <c r="B125" s="222" t="s">
        <v>218</v>
      </c>
      <c r="C125" s="43" t="s">
        <v>207</v>
      </c>
      <c r="D125" s="162" t="s">
        <v>214</v>
      </c>
      <c r="E125" s="43">
        <f>7+7+5.5+5.5+4</f>
        <v>29</v>
      </c>
      <c r="F125" s="43">
        <f>7+5.5+5.5+4+4</f>
        <v>26</v>
      </c>
      <c r="G125" s="43">
        <f>7+5.5+5.5+4+4</f>
        <v>26</v>
      </c>
      <c r="H125" s="43">
        <v>20</v>
      </c>
      <c r="K125" s="49">
        <f>計分版!D125</f>
        <v>3.9500000000000006E-9</v>
      </c>
      <c r="L125" s="43">
        <f>入學要求!S109</f>
        <v>0</v>
      </c>
    </row>
    <row r="126" spans="1:23">
      <c r="A126" s="43" t="s">
        <v>168</v>
      </c>
      <c r="B126" s="222" t="s">
        <v>218</v>
      </c>
      <c r="C126" s="43" t="s">
        <v>169</v>
      </c>
      <c r="D126" s="162" t="s">
        <v>215</v>
      </c>
      <c r="E126" s="43">
        <f>7*1.5+7*2+7+4*2+7+7</f>
        <v>53.5</v>
      </c>
      <c r="F126" s="43">
        <f>7*1.5+5.5*2+7+7*2+5.5+4</f>
        <v>52</v>
      </c>
      <c r="G126" s="43">
        <f>4*1.5+8.5*2+4+5.5*2+7+5.5</f>
        <v>50.5</v>
      </c>
      <c r="H126" s="43">
        <v>76</v>
      </c>
      <c r="K126" s="49">
        <f>計分版!D126</f>
        <v>3.4999999999999999E-9</v>
      </c>
      <c r="L126" s="43">
        <f>入學要求!S110</f>
        <v>0</v>
      </c>
    </row>
    <row r="127" spans="1:23">
      <c r="K127" s="49"/>
    </row>
    <row r="128" spans="1:23">
      <c r="E128" s="43" t="s">
        <v>403</v>
      </c>
      <c r="F128" s="43" t="s">
        <v>1156</v>
      </c>
      <c r="G128" s="43" t="s">
        <v>1157</v>
      </c>
      <c r="K128" s="49" t="str">
        <f>計分版!D128</f>
        <v>總分</v>
      </c>
      <c r="M128" s="43"/>
      <c r="N128" s="43"/>
    </row>
    <row r="129" spans="1:14">
      <c r="A129" s="43" t="s">
        <v>442</v>
      </c>
      <c r="B129" s="43" t="s">
        <v>608</v>
      </c>
      <c r="C129" s="43" t="s">
        <v>542</v>
      </c>
      <c r="D129" s="162" t="s">
        <v>215</v>
      </c>
      <c r="E129" s="57" t="s">
        <v>393</v>
      </c>
      <c r="F129" s="43">
        <f>4*10+4*10+4*10+4*10+6*10+4*5</f>
        <v>240</v>
      </c>
      <c r="G129" s="43">
        <f>5*10+4*10+4*10+4*10+4*10+4*5</f>
        <v>230</v>
      </c>
      <c r="H129" s="43">
        <v>70</v>
      </c>
      <c r="J129" s="49"/>
      <c r="K129" s="49">
        <f>計分版!D129</f>
        <v>1.925E-8</v>
      </c>
      <c r="L129" s="49">
        <f>入學要求!S139</f>
        <v>0</v>
      </c>
      <c r="M129" s="49"/>
      <c r="N129" s="49"/>
    </row>
    <row r="130" spans="1:14">
      <c r="A130" s="43" t="s">
        <v>443</v>
      </c>
      <c r="B130" s="43" t="s">
        <v>608</v>
      </c>
      <c r="C130" s="43" t="s">
        <v>543</v>
      </c>
      <c r="D130" s="162" t="s">
        <v>214</v>
      </c>
      <c r="E130" s="57" t="s">
        <v>393</v>
      </c>
      <c r="F130" s="43">
        <f>5*10+5*10+4*10+4*10+4*10</f>
        <v>220</v>
      </c>
      <c r="G130" s="43">
        <f>4*10+4*10+5*10+4*10+4*7</f>
        <v>198</v>
      </c>
      <c r="H130" s="43">
        <v>26</v>
      </c>
      <c r="K130" s="49">
        <f>計分版!D130</f>
        <v>2.175E-8</v>
      </c>
      <c r="L130" s="49">
        <f>入學要求!S140</f>
        <v>0</v>
      </c>
      <c r="M130" s="43"/>
      <c r="N130" s="43"/>
    </row>
    <row r="131" spans="1:14">
      <c r="A131" s="43" t="s">
        <v>444</v>
      </c>
      <c r="B131" s="43" t="s">
        <v>608</v>
      </c>
      <c r="C131" s="43" t="s">
        <v>544</v>
      </c>
      <c r="D131" s="162" t="s">
        <v>214</v>
      </c>
      <c r="E131" s="57" t="s">
        <v>393</v>
      </c>
      <c r="F131" s="43">
        <f>5*10+5*10+5*7+3*10+3*10</f>
        <v>195</v>
      </c>
      <c r="G131" s="43">
        <f>3*10+4*10+4*7+4*10+3*10</f>
        <v>168</v>
      </c>
      <c r="H131" s="43">
        <v>23</v>
      </c>
      <c r="K131" s="49">
        <f>計分版!D131</f>
        <v>2.175E-8</v>
      </c>
      <c r="L131" s="49">
        <f>入學要求!S141</f>
        <v>0</v>
      </c>
      <c r="M131" s="43"/>
      <c r="N131" s="43"/>
    </row>
    <row r="132" spans="1:14">
      <c r="A132" s="43" t="s">
        <v>445</v>
      </c>
      <c r="B132" s="43" t="s">
        <v>608</v>
      </c>
      <c r="C132" s="43" t="s">
        <v>545</v>
      </c>
      <c r="D132" s="162" t="s">
        <v>214</v>
      </c>
      <c r="E132" s="57" t="s">
        <v>393</v>
      </c>
      <c r="F132" s="43">
        <f>3*10+5*10+4*10+3*10+3*10</f>
        <v>180</v>
      </c>
      <c r="G132" s="43">
        <f>3*10+4*10+4*7+4*10+4*10</f>
        <v>178</v>
      </c>
      <c r="H132" s="43">
        <v>27</v>
      </c>
      <c r="K132" s="49">
        <f>計分版!D132</f>
        <v>1.9750000000000001E-8</v>
      </c>
      <c r="L132" s="49">
        <f>入學要求!S142</f>
        <v>0</v>
      </c>
      <c r="M132" s="43"/>
      <c r="N132" s="43"/>
    </row>
    <row r="133" spans="1:14">
      <c r="A133" s="43" t="s">
        <v>446</v>
      </c>
      <c r="B133" s="43" t="s">
        <v>608</v>
      </c>
      <c r="C133" s="43" t="s">
        <v>546</v>
      </c>
      <c r="D133" s="162" t="s">
        <v>214</v>
      </c>
      <c r="E133" s="57" t="s">
        <v>393</v>
      </c>
      <c r="F133" s="43">
        <f>4*7+4*10+5*10+4*7+4*5</f>
        <v>166</v>
      </c>
      <c r="G133" s="43">
        <f>4*7+4*10+4*10+5*7+4*5</f>
        <v>163</v>
      </c>
      <c r="H133" s="43">
        <v>37</v>
      </c>
      <c r="K133" s="49">
        <f>計分版!D133</f>
        <v>1.9750000000000001E-8</v>
      </c>
      <c r="L133" s="49">
        <f>入學要求!S143</f>
        <v>0</v>
      </c>
      <c r="M133" s="43"/>
      <c r="N133" s="43"/>
    </row>
    <row r="134" spans="1:14">
      <c r="A134" s="43" t="s">
        <v>447</v>
      </c>
      <c r="B134" s="43" t="s">
        <v>608</v>
      </c>
      <c r="C134" s="43" t="s">
        <v>547</v>
      </c>
      <c r="D134" s="162" t="s">
        <v>214</v>
      </c>
      <c r="E134" s="57" t="s">
        <v>393</v>
      </c>
      <c r="F134" s="43">
        <f>4*7+4*10+4*7+4*7+20</f>
        <v>144</v>
      </c>
      <c r="G134" s="43">
        <f>4*7+4*10+4*7+3*7+4*5</f>
        <v>137</v>
      </c>
      <c r="H134" s="43">
        <v>22</v>
      </c>
      <c r="K134" s="49">
        <f>計分版!D134</f>
        <v>3.875E-8</v>
      </c>
      <c r="L134" s="49">
        <f>入學要求!S144</f>
        <v>0</v>
      </c>
      <c r="M134" s="43"/>
      <c r="N134" s="43"/>
    </row>
    <row r="135" spans="1:14">
      <c r="A135" s="43" t="s">
        <v>448</v>
      </c>
      <c r="B135" s="43" t="s">
        <v>608</v>
      </c>
      <c r="C135" s="43" t="s">
        <v>548</v>
      </c>
      <c r="D135" s="162" t="s">
        <v>214</v>
      </c>
      <c r="E135" s="57" t="s">
        <v>393</v>
      </c>
      <c r="F135" s="43">
        <f>4*7+4*10+5*10+4*7+5*5</f>
        <v>171</v>
      </c>
      <c r="G135" s="43">
        <f>4*7+3*10+5*10+5*7+5*5</f>
        <v>168</v>
      </c>
      <c r="H135" s="43">
        <v>38</v>
      </c>
      <c r="K135" s="49">
        <f>計分版!D135</f>
        <v>1.8250000000000001E-8</v>
      </c>
      <c r="L135" s="49">
        <f>入學要求!S145</f>
        <v>0</v>
      </c>
      <c r="M135" s="43"/>
      <c r="N135" s="43"/>
    </row>
    <row r="136" spans="1:14">
      <c r="A136" s="43" t="s">
        <v>449</v>
      </c>
      <c r="B136" s="43" t="s">
        <v>608</v>
      </c>
      <c r="C136" s="43" t="s">
        <v>549</v>
      </c>
      <c r="D136" s="162" t="s">
        <v>606</v>
      </c>
      <c r="E136" s="57" t="s">
        <v>393</v>
      </c>
      <c r="F136" s="43">
        <f>5*7+5*10+7*10+5*7+5*10+5*10</f>
        <v>290</v>
      </c>
      <c r="G136" s="43">
        <f>4*7+4*10+6*10+5*7+6*10+6*10</f>
        <v>283</v>
      </c>
      <c r="H136" s="43">
        <v>54</v>
      </c>
      <c r="K136" s="49">
        <f>計分版!D136</f>
        <v>2.475E-8</v>
      </c>
      <c r="L136" s="49">
        <f>入學要求!S146</f>
        <v>0</v>
      </c>
      <c r="M136" s="43"/>
      <c r="N136" s="43"/>
    </row>
    <row r="137" spans="1:14">
      <c r="A137" s="43" t="s">
        <v>450</v>
      </c>
      <c r="B137" s="43" t="s">
        <v>608</v>
      </c>
      <c r="C137" s="43" t="s">
        <v>550</v>
      </c>
      <c r="D137" s="162" t="s">
        <v>214</v>
      </c>
      <c r="E137" s="57" t="s">
        <v>393</v>
      </c>
      <c r="F137" s="43">
        <f>5*10+4*7+5*10+4*10+3*10</f>
        <v>198</v>
      </c>
      <c r="G137" s="43">
        <f>5*7+3*10+4*10+4*10+3*10</f>
        <v>175</v>
      </c>
      <c r="H137" s="43">
        <v>92</v>
      </c>
      <c r="K137" s="49">
        <f>計分版!D137</f>
        <v>1.9750000000000001E-8</v>
      </c>
      <c r="L137" s="49">
        <f>入學要求!S147</f>
        <v>0</v>
      </c>
      <c r="M137" s="43"/>
      <c r="N137" s="43"/>
    </row>
    <row r="138" spans="1:14">
      <c r="A138" s="43" t="s">
        <v>451</v>
      </c>
      <c r="B138" s="43" t="s">
        <v>608</v>
      </c>
      <c r="C138" s="43" t="s">
        <v>551</v>
      </c>
      <c r="D138" s="162" t="s">
        <v>214</v>
      </c>
      <c r="E138" s="57" t="s">
        <v>393</v>
      </c>
      <c r="F138" s="43">
        <f>3*10+5*10+5*10+4*10+5*10</f>
        <v>220</v>
      </c>
      <c r="G138" s="43">
        <f>3*10+5*10+5*7+5*10+3*10</f>
        <v>195</v>
      </c>
      <c r="H138" s="43">
        <v>56</v>
      </c>
      <c r="K138" s="49">
        <f>計分版!D138</f>
        <v>2.175E-8</v>
      </c>
      <c r="L138" s="49">
        <f>入學要求!S148</f>
        <v>0</v>
      </c>
      <c r="M138" s="43"/>
      <c r="N138" s="43"/>
    </row>
    <row r="139" spans="1:14">
      <c r="A139" s="43" t="s">
        <v>452</v>
      </c>
      <c r="B139" s="43" t="s">
        <v>608</v>
      </c>
      <c r="C139" s="43" t="s">
        <v>552</v>
      </c>
      <c r="D139" s="162" t="s">
        <v>214</v>
      </c>
      <c r="E139" s="57" t="s">
        <v>393</v>
      </c>
      <c r="F139" s="43">
        <f>5*7+4*10+5*10+3*10+3*10</f>
        <v>185</v>
      </c>
      <c r="G139" s="43">
        <f>4*10+4*10+4*7+4*10+3*10</f>
        <v>178</v>
      </c>
      <c r="H139" s="43">
        <v>27</v>
      </c>
      <c r="K139" s="49">
        <f>計分版!D139</f>
        <v>2.175E-8</v>
      </c>
      <c r="L139" s="49">
        <f>入學要求!S149</f>
        <v>0</v>
      </c>
      <c r="M139" s="43"/>
      <c r="N139" s="43"/>
    </row>
    <row r="140" spans="1:14">
      <c r="A140" s="43" t="s">
        <v>453</v>
      </c>
      <c r="B140" s="43" t="s">
        <v>608</v>
      </c>
      <c r="C140" s="43" t="s">
        <v>553</v>
      </c>
      <c r="D140" s="162" t="s">
        <v>214</v>
      </c>
      <c r="E140" s="57" t="s">
        <v>393</v>
      </c>
      <c r="F140" s="43">
        <f>4*7+3*10+4*10+5*7+5*5</f>
        <v>158</v>
      </c>
      <c r="G140" s="43">
        <f>4*7+4*10+4*10+4*7+4*5</f>
        <v>156</v>
      </c>
      <c r="H140" s="43">
        <v>29</v>
      </c>
      <c r="K140" s="49">
        <f>計分版!D140</f>
        <v>1.9750000000000001E-8</v>
      </c>
      <c r="L140" s="49">
        <f>入學要求!S150</f>
        <v>0</v>
      </c>
      <c r="M140" s="43"/>
      <c r="N140" s="43"/>
    </row>
    <row r="141" spans="1:14">
      <c r="A141" s="43" t="s">
        <v>454</v>
      </c>
      <c r="B141" s="43" t="s">
        <v>608</v>
      </c>
      <c r="C141" s="43" t="s">
        <v>554</v>
      </c>
      <c r="D141" s="162" t="s">
        <v>214</v>
      </c>
      <c r="E141" s="57" t="s">
        <v>393</v>
      </c>
      <c r="F141" s="43">
        <f>4*7+4*10+4*10+4*7+3*5</f>
        <v>151</v>
      </c>
      <c r="G141" s="43">
        <f>3*7+4*10+4*10+4*7+4*5</f>
        <v>149</v>
      </c>
      <c r="H141" s="43">
        <v>56</v>
      </c>
      <c r="K141" s="49">
        <f>計分版!D141</f>
        <v>1.9750000000000001E-8</v>
      </c>
      <c r="L141" s="49">
        <f>入學要求!S151</f>
        <v>0</v>
      </c>
      <c r="M141" s="43"/>
      <c r="N141" s="43"/>
    </row>
    <row r="142" spans="1:14">
      <c r="A142" s="43" t="s">
        <v>455</v>
      </c>
      <c r="B142" s="43" t="s">
        <v>608</v>
      </c>
      <c r="C142" s="43" t="s">
        <v>555</v>
      </c>
      <c r="D142" s="162" t="s">
        <v>214</v>
      </c>
      <c r="E142" s="57" t="s">
        <v>393</v>
      </c>
      <c r="F142" s="43">
        <f>5*10+4*10+4*10+4*10+4*10</f>
        <v>210</v>
      </c>
      <c r="G142" s="43">
        <f>3*10+4*10+3*10+4*10+5*10</f>
        <v>190</v>
      </c>
      <c r="H142" s="43">
        <v>81</v>
      </c>
      <c r="K142" s="49">
        <f>計分版!D142</f>
        <v>2.0749999999999997E-8</v>
      </c>
      <c r="L142" s="49">
        <f>入學要求!S152</f>
        <v>0</v>
      </c>
      <c r="M142" s="43"/>
      <c r="N142" s="43"/>
    </row>
    <row r="143" spans="1:14">
      <c r="A143" s="43" t="s">
        <v>456</v>
      </c>
      <c r="B143" s="43" t="s">
        <v>608</v>
      </c>
      <c r="C143" s="43" t="s">
        <v>556</v>
      </c>
      <c r="D143" s="162" t="s">
        <v>214</v>
      </c>
      <c r="E143" s="57" t="s">
        <v>393</v>
      </c>
      <c r="F143" s="43">
        <f>4*7+3*10+5*10+4*7+4*5</f>
        <v>156</v>
      </c>
      <c r="G143" s="43">
        <f>5*7+3*10+4*10+4*7+4*5</f>
        <v>153</v>
      </c>
      <c r="H143" s="43">
        <v>51</v>
      </c>
      <c r="K143" s="49">
        <f>計分版!D143</f>
        <v>1.9750000000000001E-8</v>
      </c>
      <c r="L143" s="49">
        <f>入學要求!S153</f>
        <v>0</v>
      </c>
      <c r="M143" s="43"/>
      <c r="N143" s="43"/>
    </row>
    <row r="144" spans="1:14">
      <c r="A144" s="43" t="s">
        <v>457</v>
      </c>
      <c r="B144" s="43" t="s">
        <v>608</v>
      </c>
      <c r="C144" s="43" t="s">
        <v>557</v>
      </c>
      <c r="D144" s="162" t="s">
        <v>214</v>
      </c>
      <c r="E144" s="57" t="s">
        <v>393</v>
      </c>
      <c r="F144" s="43">
        <f>5*7+4*10+4*10+4*7+4*5</f>
        <v>163</v>
      </c>
      <c r="G144" s="43">
        <f>4*7+4*10+4*10+4*7+5*5</f>
        <v>161</v>
      </c>
      <c r="H144" s="43">
        <v>50</v>
      </c>
      <c r="K144" s="49">
        <f>計分版!D144</f>
        <v>1.9750000000000001E-8</v>
      </c>
      <c r="L144" s="49">
        <f>入學要求!S154</f>
        <v>0</v>
      </c>
      <c r="M144" s="43"/>
      <c r="N144" s="43"/>
    </row>
    <row r="145" spans="1:14">
      <c r="A145" s="43" t="s">
        <v>458</v>
      </c>
      <c r="B145" s="43" t="s">
        <v>608</v>
      </c>
      <c r="C145" s="43" t="s">
        <v>558</v>
      </c>
      <c r="D145" s="162" t="s">
        <v>214</v>
      </c>
      <c r="E145" s="57" t="s">
        <v>393</v>
      </c>
      <c r="F145" s="43">
        <f>4*7+4*10+4*10+5*7+4*5</f>
        <v>163</v>
      </c>
      <c r="G145" s="43">
        <f>5*7+3*10+4*10+5*7+4*5</f>
        <v>160</v>
      </c>
      <c r="H145" s="43">
        <v>30</v>
      </c>
      <c r="K145" s="49">
        <f>計分版!D145</f>
        <v>1.9750000000000001E-8</v>
      </c>
      <c r="L145" s="49">
        <f>入學要求!S155</f>
        <v>0</v>
      </c>
      <c r="M145" s="43"/>
      <c r="N145" s="43"/>
    </row>
    <row r="146" spans="1:14">
      <c r="A146" s="43" t="s">
        <v>459</v>
      </c>
      <c r="B146" s="43" t="s">
        <v>608</v>
      </c>
      <c r="C146" s="43" t="s">
        <v>559</v>
      </c>
      <c r="D146" s="162" t="s">
        <v>214</v>
      </c>
      <c r="E146" s="57" t="s">
        <v>393</v>
      </c>
      <c r="F146" s="43">
        <f>5*10+5*10+4*10+4*10+4*10</f>
        <v>220</v>
      </c>
      <c r="G146" s="43">
        <f>4*7+4*10+4*10+4*10+6*10</f>
        <v>208</v>
      </c>
      <c r="H146" s="43">
        <v>19</v>
      </c>
      <c r="K146" s="49">
        <f>計分版!D146</f>
        <v>2.175E-8</v>
      </c>
      <c r="L146" s="49">
        <f>入學要求!S156</f>
        <v>0</v>
      </c>
      <c r="M146" s="43"/>
      <c r="N146" s="43"/>
    </row>
    <row r="147" spans="1:14" s="49" customFormat="1">
      <c r="A147" s="49" t="s">
        <v>460</v>
      </c>
      <c r="B147" s="43" t="s">
        <v>608</v>
      </c>
      <c r="C147" s="49" t="s">
        <v>560</v>
      </c>
      <c r="D147" s="204" t="s">
        <v>606</v>
      </c>
      <c r="E147" s="57" t="s">
        <v>393</v>
      </c>
      <c r="F147" s="49">
        <f>5*10+7*10+6*7+5*10+5*10+5*10</f>
        <v>312</v>
      </c>
      <c r="G147" s="49">
        <f>4*10+4*10+6*10+7*10+5*10+4*10</f>
        <v>300</v>
      </c>
      <c r="H147" s="49">
        <v>110</v>
      </c>
      <c r="K147" s="49">
        <f>計分版!D147</f>
        <v>2.2750000000000002E-8</v>
      </c>
      <c r="L147" s="49">
        <f>入學要求!S157</f>
        <v>0</v>
      </c>
    </row>
    <row r="148" spans="1:14">
      <c r="A148" s="43" t="s">
        <v>461</v>
      </c>
      <c r="B148" s="43" t="s">
        <v>608</v>
      </c>
      <c r="C148" s="43" t="s">
        <v>561</v>
      </c>
      <c r="D148" s="162" t="s">
        <v>606</v>
      </c>
      <c r="E148" s="57" t="s">
        <v>393</v>
      </c>
      <c r="F148" s="43">
        <f>7*10+6*10+4*7+6*7+5*10+4*10</f>
        <v>290</v>
      </c>
      <c r="G148" s="43">
        <f>4*10+4*10+6*7+4*7+6*10+6*10</f>
        <v>270</v>
      </c>
      <c r="H148" s="43">
        <v>100</v>
      </c>
      <c r="K148" s="49">
        <f>計分版!D148</f>
        <v>2.255E-8</v>
      </c>
      <c r="L148" s="49">
        <f>入學要求!S158</f>
        <v>0</v>
      </c>
      <c r="M148" s="43"/>
      <c r="N148" s="43"/>
    </row>
    <row r="149" spans="1:14">
      <c r="A149" s="43" t="s">
        <v>462</v>
      </c>
      <c r="B149" s="43" t="s">
        <v>608</v>
      </c>
      <c r="C149" s="43" t="s">
        <v>562</v>
      </c>
      <c r="D149" s="162" t="s">
        <v>606</v>
      </c>
      <c r="E149" s="57" t="s">
        <v>393</v>
      </c>
      <c r="F149" s="43">
        <f>5*10+4*10+6*7+5*7+6*10+6*10</f>
        <v>287</v>
      </c>
      <c r="G149" s="43">
        <f>6*10+5*10+5*7+6*7+5*10+5*10</f>
        <v>287</v>
      </c>
      <c r="H149" s="43">
        <v>150</v>
      </c>
      <c r="K149" s="49">
        <f>計分版!D149</f>
        <v>2.255E-8</v>
      </c>
      <c r="L149" s="49">
        <f>入學要求!S159</f>
        <v>0</v>
      </c>
      <c r="M149" s="43"/>
      <c r="N149" s="43"/>
    </row>
    <row r="150" spans="1:14">
      <c r="A150" s="43" t="s">
        <v>463</v>
      </c>
      <c r="B150" s="43" t="s">
        <v>608</v>
      </c>
      <c r="C150" s="43" t="s">
        <v>563</v>
      </c>
      <c r="D150" s="162" t="s">
        <v>215</v>
      </c>
      <c r="E150" s="57" t="s">
        <v>393</v>
      </c>
      <c r="F150" s="43">
        <f>6*10+4*10+5*10+4*10+4*10+4*5</f>
        <v>250</v>
      </c>
      <c r="G150" s="43">
        <f>4*10+4*10+4*10+4*10+6*10+5*5</f>
        <v>245</v>
      </c>
      <c r="H150" s="43">
        <v>193</v>
      </c>
      <c r="K150" s="49">
        <f>計分版!D150</f>
        <v>1.925E-8</v>
      </c>
      <c r="L150" s="49">
        <f>入學要求!S160</f>
        <v>0</v>
      </c>
      <c r="M150" s="43"/>
      <c r="N150" s="43"/>
    </row>
    <row r="151" spans="1:14">
      <c r="A151" s="43" t="s">
        <v>464</v>
      </c>
      <c r="B151" s="43" t="s">
        <v>608</v>
      </c>
      <c r="C151" s="43" t="s">
        <v>564</v>
      </c>
      <c r="D151" s="162" t="s">
        <v>606</v>
      </c>
      <c r="E151" s="57" t="s">
        <v>393</v>
      </c>
      <c r="F151" s="43">
        <f>4*10+7*10+4*7+6*10+5*10+5*10</f>
        <v>298</v>
      </c>
      <c r="G151" s="43">
        <f>4*7+4*10+7*10+6*10+4*10+5*10</f>
        <v>288</v>
      </c>
      <c r="H151" s="43">
        <v>45</v>
      </c>
      <c r="K151" s="49">
        <f>計分版!D151</f>
        <v>2.475E-8</v>
      </c>
      <c r="L151" s="49">
        <f>入學要求!S161</f>
        <v>0</v>
      </c>
      <c r="M151" s="43"/>
      <c r="N151" s="43"/>
    </row>
    <row r="152" spans="1:14">
      <c r="A152" s="43" t="s">
        <v>465</v>
      </c>
      <c r="B152" s="43" t="s">
        <v>608</v>
      </c>
      <c r="C152" s="43" t="s">
        <v>565</v>
      </c>
      <c r="D152" s="162" t="s">
        <v>215</v>
      </c>
      <c r="E152" s="57" t="s">
        <v>393</v>
      </c>
      <c r="F152" s="43">
        <f>4*7+7*7+4*7+4*7+4*5+4*5</f>
        <v>173</v>
      </c>
      <c r="G152" s="43">
        <f>4*7+5*7+5*7+5*7+4*5+3*5</f>
        <v>168</v>
      </c>
      <c r="H152" s="43">
        <v>32</v>
      </c>
      <c r="K152" s="49">
        <f>計分版!D152</f>
        <v>1.625E-8</v>
      </c>
      <c r="L152" s="49">
        <f>入學要求!S162</f>
        <v>0</v>
      </c>
      <c r="M152" s="43"/>
      <c r="N152" s="43"/>
    </row>
    <row r="153" spans="1:14">
      <c r="A153" s="43" t="s">
        <v>466</v>
      </c>
      <c r="B153" s="43" t="s">
        <v>608</v>
      </c>
      <c r="C153" s="43" t="s">
        <v>566</v>
      </c>
      <c r="D153" s="162" t="s">
        <v>214</v>
      </c>
      <c r="E153" s="57" t="s">
        <v>393</v>
      </c>
      <c r="F153" s="43">
        <f>5*7+3*10+4*10+5*7+4*5</f>
        <v>160</v>
      </c>
      <c r="G153" s="43">
        <f>4*7+3*10+5*10+4*7+4*5</f>
        <v>156</v>
      </c>
      <c r="H153" s="43">
        <v>31</v>
      </c>
      <c r="K153" s="49">
        <f>計分版!D153</f>
        <v>1.9750000000000001E-8</v>
      </c>
      <c r="L153" s="49">
        <f>入學要求!S163</f>
        <v>0</v>
      </c>
      <c r="M153" s="43"/>
      <c r="N153" s="43"/>
    </row>
    <row r="154" spans="1:14">
      <c r="A154" s="43" t="s">
        <v>467</v>
      </c>
      <c r="B154" s="43" t="s">
        <v>608</v>
      </c>
      <c r="C154" s="43" t="s">
        <v>567</v>
      </c>
      <c r="D154" s="162" t="s">
        <v>214</v>
      </c>
      <c r="E154" s="57" t="s">
        <v>393</v>
      </c>
      <c r="F154" s="43">
        <f>3*10+4*10+4*10+4*10+4*10</f>
        <v>190</v>
      </c>
      <c r="G154" s="43">
        <f>4*7+4*10+4*10+4*10+4*10</f>
        <v>188</v>
      </c>
      <c r="H154" s="43">
        <v>37</v>
      </c>
      <c r="K154" s="49">
        <f>計分版!D154</f>
        <v>2.175E-8</v>
      </c>
      <c r="L154" s="49">
        <f>入學要求!S164</f>
        <v>0</v>
      </c>
      <c r="M154" s="43"/>
      <c r="N154" s="43"/>
    </row>
    <row r="155" spans="1:14">
      <c r="A155" s="43" t="s">
        <v>468</v>
      </c>
      <c r="B155" s="43" t="s">
        <v>608</v>
      </c>
      <c r="C155" s="43" t="s">
        <v>568</v>
      </c>
      <c r="D155" s="162" t="s">
        <v>214</v>
      </c>
      <c r="E155" s="57" t="s">
        <v>393</v>
      </c>
      <c r="F155" s="43">
        <f>3*10+6*10+4*10+4*10+4*10</f>
        <v>210</v>
      </c>
      <c r="G155" s="43">
        <f>4*10+5*10+4*10+4*10+3*10</f>
        <v>200</v>
      </c>
      <c r="H155" s="43">
        <v>39</v>
      </c>
      <c r="K155" s="49">
        <f>計分版!D155</f>
        <v>2.175E-8</v>
      </c>
      <c r="L155" s="49">
        <f>入學要求!S165</f>
        <v>0</v>
      </c>
      <c r="M155" s="43"/>
      <c r="N155" s="43"/>
    </row>
    <row r="156" spans="1:14">
      <c r="A156" s="43" t="s">
        <v>469</v>
      </c>
      <c r="B156" s="43" t="s">
        <v>608</v>
      </c>
      <c r="C156" s="43" t="s">
        <v>569</v>
      </c>
      <c r="D156" s="162" t="s">
        <v>214</v>
      </c>
      <c r="E156" s="57" t="s">
        <v>393</v>
      </c>
      <c r="F156" s="43">
        <f>4*7+3*10+5*10+4*10+5*10</f>
        <v>198</v>
      </c>
      <c r="G156" s="43">
        <f>4*7+4*10+4*10+4*7+4*10</f>
        <v>176</v>
      </c>
      <c r="H156" s="43">
        <v>62</v>
      </c>
      <c r="K156" s="49">
        <f>計分版!D156</f>
        <v>2.2250000000000001E-8</v>
      </c>
      <c r="L156" s="49">
        <f>入學要求!S166</f>
        <v>0</v>
      </c>
      <c r="M156" s="43"/>
      <c r="N156" s="43"/>
    </row>
    <row r="157" spans="1:14">
      <c r="A157" s="43" t="s">
        <v>470</v>
      </c>
      <c r="B157" s="43" t="s">
        <v>608</v>
      </c>
      <c r="C157" s="43" t="s">
        <v>570</v>
      </c>
      <c r="D157" s="162" t="s">
        <v>214</v>
      </c>
      <c r="E157" s="57" t="s">
        <v>393</v>
      </c>
      <c r="F157" s="43">
        <f>4*10+4*10+4*7+5*10+5*10</f>
        <v>208</v>
      </c>
      <c r="G157" s="43">
        <f>3*10+4*10+3*10+3*10+5*10</f>
        <v>180</v>
      </c>
      <c r="H157" s="43">
        <v>62</v>
      </c>
      <c r="K157" s="49">
        <f>計分版!D157</f>
        <v>2.175E-8</v>
      </c>
      <c r="L157" s="49">
        <f>入學要求!S167</f>
        <v>0</v>
      </c>
      <c r="M157" s="43"/>
      <c r="N157" s="43"/>
    </row>
    <row r="158" spans="1:14">
      <c r="A158" s="43" t="s">
        <v>471</v>
      </c>
      <c r="B158" s="43" t="s">
        <v>608</v>
      </c>
      <c r="C158" s="43" t="s">
        <v>571</v>
      </c>
      <c r="D158" s="162" t="s">
        <v>214</v>
      </c>
      <c r="E158" s="57" t="s">
        <v>393</v>
      </c>
      <c r="F158" s="43">
        <f>3*7+3*10+5*10+5*10+5*5</f>
        <v>176</v>
      </c>
      <c r="G158" s="43">
        <f>4*7+3*10+5*10+4*7+4*10</f>
        <v>176</v>
      </c>
      <c r="H158" s="43">
        <v>29</v>
      </c>
      <c r="K158" s="49">
        <f>計分版!D158</f>
        <v>1.9750000000000001E-8</v>
      </c>
      <c r="L158" s="49">
        <f>入學要求!S168</f>
        <v>0</v>
      </c>
      <c r="M158" s="43"/>
      <c r="N158" s="43"/>
    </row>
    <row r="159" spans="1:14">
      <c r="A159" s="43" t="s">
        <v>472</v>
      </c>
      <c r="B159" s="43" t="s">
        <v>608</v>
      </c>
      <c r="C159" s="43" t="s">
        <v>572</v>
      </c>
      <c r="D159" s="162" t="s">
        <v>215</v>
      </c>
      <c r="E159" s="57" t="s">
        <v>393</v>
      </c>
      <c r="F159" s="43">
        <f>4*7+4*7+5*7+4*7+4*5+4*5</f>
        <v>159</v>
      </c>
      <c r="G159" s="43">
        <f>5*7+3*7+2*7+4*7+4*5+4*5</f>
        <v>138</v>
      </c>
      <c r="H159" s="43">
        <v>18</v>
      </c>
      <c r="K159" s="49">
        <f>計分版!D159</f>
        <v>1.625E-8</v>
      </c>
      <c r="L159" s="49">
        <f>入學要求!S169</f>
        <v>0</v>
      </c>
      <c r="M159" s="43"/>
      <c r="N159" s="43"/>
    </row>
    <row r="160" spans="1:14" s="49" customFormat="1">
      <c r="A160" s="49" t="s">
        <v>473</v>
      </c>
      <c r="B160" s="43" t="s">
        <v>608</v>
      </c>
      <c r="C160" s="49" t="s">
        <v>573</v>
      </c>
      <c r="D160" s="204" t="s">
        <v>214</v>
      </c>
      <c r="E160" s="57" t="s">
        <v>393</v>
      </c>
      <c r="F160" s="49">
        <f>3*7+3*10+4*10+3*7+5*10</f>
        <v>162</v>
      </c>
      <c r="G160" s="49">
        <f>5*7+3*10+4*10+3*7+4*7</f>
        <v>154</v>
      </c>
      <c r="H160" s="49">
        <v>30</v>
      </c>
      <c r="K160" s="49">
        <f>計分版!D160</f>
        <v>2.175E-8</v>
      </c>
      <c r="L160" s="49">
        <f>入學要求!S170</f>
        <v>0</v>
      </c>
    </row>
    <row r="161" spans="1:23" s="49" customFormat="1">
      <c r="A161" s="49" t="s">
        <v>474</v>
      </c>
      <c r="B161" s="43" t="s">
        <v>608</v>
      </c>
      <c r="C161" s="49" t="s">
        <v>574</v>
      </c>
      <c r="D161" s="204" t="s">
        <v>214</v>
      </c>
      <c r="E161" s="57" t="s">
        <v>393</v>
      </c>
      <c r="F161" s="49">
        <f>5*7+4*10+6*7+5*7+5*5</f>
        <v>177</v>
      </c>
      <c r="G161" s="49">
        <f>4*7+4*10+6*7+4*7+5*5</f>
        <v>163</v>
      </c>
      <c r="H161" s="49">
        <v>47</v>
      </c>
      <c r="K161" s="49">
        <f>計分版!D161</f>
        <v>1.9750000000000001E-8</v>
      </c>
      <c r="L161" s="49">
        <f>入學要求!S171</f>
        <v>0</v>
      </c>
    </row>
    <row r="162" spans="1:23" s="49" customFormat="1">
      <c r="A162" s="49" t="s">
        <v>475</v>
      </c>
      <c r="B162" s="43" t="s">
        <v>608</v>
      </c>
      <c r="C162" s="49" t="s">
        <v>575</v>
      </c>
      <c r="D162" s="204" t="s">
        <v>214</v>
      </c>
      <c r="E162" s="57" t="s">
        <v>393</v>
      </c>
      <c r="F162" s="49">
        <f>3*7+3*10+5*10+4*7+5*10</f>
        <v>179</v>
      </c>
      <c r="G162" s="49">
        <f>4*7+4*10+4*10+4*10+3*7</f>
        <v>169</v>
      </c>
      <c r="H162" s="49">
        <v>22</v>
      </c>
      <c r="K162" s="49">
        <f>計分版!D162</f>
        <v>2.175E-8</v>
      </c>
      <c r="L162" s="49">
        <f>入學要求!S172</f>
        <v>0</v>
      </c>
    </row>
    <row r="163" spans="1:23" s="49" customFormat="1">
      <c r="A163" s="49" t="s">
        <v>476</v>
      </c>
      <c r="B163" s="43" t="s">
        <v>608</v>
      </c>
      <c r="C163" s="49" t="s">
        <v>576</v>
      </c>
      <c r="D163" s="204" t="s">
        <v>214</v>
      </c>
      <c r="E163" s="57" t="s">
        <v>393</v>
      </c>
      <c r="F163" s="49">
        <f>3*7+3*10+5*10+4*7+5*7</f>
        <v>164</v>
      </c>
      <c r="G163" s="49">
        <f>4*7+3*10+4*10+4*7+6*5</f>
        <v>156</v>
      </c>
      <c r="H163" s="49">
        <v>19</v>
      </c>
      <c r="K163" s="49">
        <f>計分版!D163</f>
        <v>1.9750000000000001E-8</v>
      </c>
      <c r="L163" s="49">
        <f>入學要求!S173</f>
        <v>0</v>
      </c>
    </row>
    <row r="164" spans="1:23">
      <c r="A164" s="43" t="s">
        <v>477</v>
      </c>
      <c r="B164" s="43" t="s">
        <v>608</v>
      </c>
      <c r="C164" s="43" t="s">
        <v>577</v>
      </c>
      <c r="D164" s="162" t="s">
        <v>866</v>
      </c>
      <c r="E164" s="57" t="s">
        <v>393</v>
      </c>
      <c r="F164" s="43">
        <f>5*10+4*10+4*7+4*7+5*5</f>
        <v>171</v>
      </c>
      <c r="G164" s="43">
        <f>6*10+3*10+4*7+5*5+3*5</f>
        <v>158</v>
      </c>
      <c r="H164" s="43">
        <v>37</v>
      </c>
      <c r="K164" s="49">
        <f>計分版!D164</f>
        <v>1.625E-8</v>
      </c>
      <c r="L164" s="49">
        <f>入學要求!S174</f>
        <v>0</v>
      </c>
      <c r="M164" s="43"/>
      <c r="N164" s="43"/>
    </row>
    <row r="165" spans="1:23">
      <c r="A165" s="43" t="s">
        <v>478</v>
      </c>
      <c r="B165" s="43" t="s">
        <v>608</v>
      </c>
      <c r="C165" s="43" t="s">
        <v>578</v>
      </c>
      <c r="D165" s="162" t="s">
        <v>214</v>
      </c>
      <c r="E165" s="57" t="s">
        <v>393</v>
      </c>
      <c r="F165" s="43">
        <f>4*7+5*10+4*7+4*7+4*5</f>
        <v>154</v>
      </c>
      <c r="G165" s="43">
        <f>4*7+4*10+3*7+4*7+5*5</f>
        <v>142</v>
      </c>
      <c r="H165" s="43">
        <v>32</v>
      </c>
      <c r="K165" s="49">
        <f>計分版!D165</f>
        <v>1.9750000000000001E-8</v>
      </c>
      <c r="L165" s="49">
        <f>入學要求!S175</f>
        <v>0</v>
      </c>
      <c r="M165" s="43"/>
      <c r="N165" s="43"/>
    </row>
    <row r="166" spans="1:23">
      <c r="A166" s="43" t="s">
        <v>479</v>
      </c>
      <c r="B166" s="43" t="s">
        <v>608</v>
      </c>
      <c r="C166" s="43" t="s">
        <v>579</v>
      </c>
      <c r="D166" s="162" t="s">
        <v>866</v>
      </c>
      <c r="E166" s="57" t="s">
        <v>393</v>
      </c>
      <c r="F166" s="43">
        <f>5*10+4*10+4*7+4*7+5*5</f>
        <v>171</v>
      </c>
      <c r="G166" s="43">
        <f>6*10+3*10+4*7+5*5+3*5</f>
        <v>158</v>
      </c>
      <c r="H166" s="43">
        <v>41</v>
      </c>
      <c r="K166" s="49">
        <f>計分版!D166</f>
        <v>1.625E-8</v>
      </c>
      <c r="L166" s="49">
        <f>入學要求!S176</f>
        <v>0</v>
      </c>
      <c r="M166" s="43"/>
      <c r="N166" s="43"/>
    </row>
    <row r="167" spans="1:23">
      <c r="A167" s="43" t="s">
        <v>480</v>
      </c>
      <c r="B167" s="43" t="s">
        <v>608</v>
      </c>
      <c r="C167" s="43" t="s">
        <v>580</v>
      </c>
      <c r="D167" s="162" t="s">
        <v>214</v>
      </c>
      <c r="E167" s="57" t="s">
        <v>393</v>
      </c>
      <c r="F167" s="43">
        <f>4*10+4*10+4*10+4*10+3*10</f>
        <v>190</v>
      </c>
      <c r="G167" s="43">
        <f>4*10+4*10+4*7+4*10+4*10</f>
        <v>188</v>
      </c>
      <c r="H167" s="43">
        <v>110</v>
      </c>
      <c r="K167" s="49">
        <f>計分版!D167</f>
        <v>2.175E-8</v>
      </c>
      <c r="L167" s="49">
        <f>入學要求!S177</f>
        <v>0</v>
      </c>
      <c r="M167" s="43"/>
      <c r="N167" s="43"/>
    </row>
    <row r="168" spans="1:23">
      <c r="A168" s="43" t="s">
        <v>481</v>
      </c>
      <c r="B168" s="43" t="s">
        <v>608</v>
      </c>
      <c r="C168" s="43" t="s">
        <v>581</v>
      </c>
      <c r="D168" s="162" t="s">
        <v>214</v>
      </c>
      <c r="E168" s="57" t="s">
        <v>393</v>
      </c>
      <c r="F168" s="43">
        <f>4*7+5*10+4*7+5*7+4*5</f>
        <v>161</v>
      </c>
      <c r="G168" s="43">
        <f>5*7+4*10+5*7+3*7+4*5</f>
        <v>151</v>
      </c>
      <c r="H168" s="43">
        <v>45</v>
      </c>
      <c r="K168" s="49">
        <f>計分版!D168</f>
        <v>1.9750000000000001E-8</v>
      </c>
      <c r="L168" s="49">
        <f>入學要求!S178</f>
        <v>0</v>
      </c>
      <c r="M168" s="43"/>
      <c r="N168" s="43"/>
    </row>
    <row r="169" spans="1:23">
      <c r="A169" s="43" t="s">
        <v>482</v>
      </c>
      <c r="B169" s="43" t="s">
        <v>608</v>
      </c>
      <c r="C169" s="43" t="s">
        <v>582</v>
      </c>
      <c r="D169" s="162" t="s">
        <v>214</v>
      </c>
      <c r="E169" s="57" t="s">
        <v>393</v>
      </c>
      <c r="F169" s="43">
        <f>4*7+4*10+5*10+4*7+4*5</f>
        <v>166</v>
      </c>
      <c r="G169" s="43">
        <f>3*7+4*10+4*10+5*7+4*5</f>
        <v>156</v>
      </c>
      <c r="H169" s="43">
        <v>58</v>
      </c>
      <c r="K169" s="49">
        <f>計分版!D169</f>
        <v>1.9750000000000001E-8</v>
      </c>
      <c r="L169" s="49">
        <f>入學要求!S179</f>
        <v>0</v>
      </c>
      <c r="M169" s="43"/>
      <c r="N169" s="43"/>
    </row>
    <row r="170" spans="1:23">
      <c r="A170" s="43" t="s">
        <v>483</v>
      </c>
      <c r="B170" s="43" t="s">
        <v>608</v>
      </c>
      <c r="C170" s="43" t="s">
        <v>583</v>
      </c>
      <c r="D170" s="162" t="s">
        <v>214</v>
      </c>
      <c r="E170" s="57" t="s">
        <v>393</v>
      </c>
      <c r="F170" s="43">
        <f>5*7+3*10+4*10+5*7+5*5</f>
        <v>165</v>
      </c>
      <c r="G170" s="43">
        <f>3*7+4*10+5*10+4*7+4*5</f>
        <v>159</v>
      </c>
      <c r="H170" s="43">
        <v>108</v>
      </c>
      <c r="K170" s="49">
        <f>計分版!D170</f>
        <v>2.0249999999999999E-8</v>
      </c>
      <c r="L170" s="49">
        <f>入學要求!S180</f>
        <v>0</v>
      </c>
      <c r="M170" s="43"/>
      <c r="N170" s="43"/>
    </row>
    <row r="171" spans="1:23" s="49" customFormat="1">
      <c r="A171" s="49" t="s">
        <v>484</v>
      </c>
      <c r="B171" s="43" t="s">
        <v>608</v>
      </c>
      <c r="C171" s="49" t="s">
        <v>584</v>
      </c>
      <c r="D171" s="204" t="s">
        <v>214</v>
      </c>
      <c r="E171" s="57" t="s">
        <v>393</v>
      </c>
      <c r="F171" s="49">
        <f>5*7+3*10+4*10+3*7+4*10</f>
        <v>166</v>
      </c>
      <c r="G171" s="49">
        <f>4*7+4*10+4*10+4*7+4*7</f>
        <v>164</v>
      </c>
      <c r="H171" s="49">
        <v>26</v>
      </c>
      <c r="K171" s="49">
        <f>計分版!D171</f>
        <v>1.9750000000000001E-8</v>
      </c>
      <c r="L171" s="49">
        <f>入學要求!S181</f>
        <v>0</v>
      </c>
      <c r="Q171" s="43"/>
      <c r="R171" s="43"/>
      <c r="S171" s="43"/>
      <c r="T171" s="43"/>
      <c r="U171" s="43"/>
      <c r="V171" s="43"/>
      <c r="W171" s="43"/>
    </row>
    <row r="172" spans="1:23">
      <c r="A172" s="43" t="s">
        <v>485</v>
      </c>
      <c r="B172" s="43" t="s">
        <v>608</v>
      </c>
      <c r="C172" s="43" t="s">
        <v>585</v>
      </c>
      <c r="D172" s="162" t="s">
        <v>214</v>
      </c>
      <c r="E172" s="57" t="s">
        <v>393</v>
      </c>
      <c r="F172" s="43">
        <f>4*7+4*10+4*10+4*10+3*10</f>
        <v>178</v>
      </c>
      <c r="G172" s="43">
        <f>4*7+4*10+4*10+4*10+3*5</f>
        <v>163</v>
      </c>
      <c r="H172" s="43">
        <v>25</v>
      </c>
      <c r="K172" s="49">
        <f>計分版!D172</f>
        <v>2.175E-8</v>
      </c>
      <c r="L172" s="49">
        <f>入學要求!S182</f>
        <v>0</v>
      </c>
      <c r="M172" s="43"/>
      <c r="N172" s="43"/>
    </row>
    <row r="173" spans="1:23">
      <c r="A173" s="43" t="s">
        <v>486</v>
      </c>
      <c r="B173" s="43" t="s">
        <v>608</v>
      </c>
      <c r="C173" s="43" t="s">
        <v>586</v>
      </c>
      <c r="D173" s="162" t="s">
        <v>214</v>
      </c>
      <c r="E173" s="57" t="s">
        <v>393</v>
      </c>
      <c r="F173" s="43">
        <f>3*7+3*10+5*10+3*7+4*10</f>
        <v>162</v>
      </c>
      <c r="G173" s="43">
        <f>3*7+4*10+4*10+3*7+4*10</f>
        <v>162</v>
      </c>
      <c r="H173" s="43">
        <v>26</v>
      </c>
      <c r="K173" s="49">
        <f>計分版!D173</f>
        <v>1.9750000000000001E-8</v>
      </c>
      <c r="L173" s="49">
        <f>入學要求!S183</f>
        <v>0</v>
      </c>
      <c r="M173" s="43"/>
      <c r="N173" s="43"/>
    </row>
    <row r="174" spans="1:23">
      <c r="A174" s="43" t="s">
        <v>487</v>
      </c>
      <c r="B174" s="43" t="s">
        <v>608</v>
      </c>
      <c r="C174" s="43" t="s">
        <v>596</v>
      </c>
      <c r="D174" s="162" t="s">
        <v>866</v>
      </c>
      <c r="E174" s="57" t="s">
        <v>393</v>
      </c>
      <c r="F174" s="43">
        <v>15.2</v>
      </c>
      <c r="G174" s="57" t="s">
        <v>393</v>
      </c>
      <c r="H174" s="43">
        <v>51</v>
      </c>
      <c r="K174" s="49">
        <f>計分版!D174</f>
        <v>2.9500000000000004E-9</v>
      </c>
      <c r="L174" s="49">
        <f>入學要求!S185</f>
        <v>0</v>
      </c>
      <c r="M174" s="43"/>
      <c r="N174" s="43"/>
    </row>
    <row r="175" spans="1:23">
      <c r="A175" s="43" t="s">
        <v>488</v>
      </c>
      <c r="B175" s="43" t="s">
        <v>608</v>
      </c>
      <c r="C175" s="43" t="s">
        <v>597</v>
      </c>
      <c r="D175" s="162" t="s">
        <v>866</v>
      </c>
      <c r="E175" s="57" t="s">
        <v>393</v>
      </c>
      <c r="F175" s="43">
        <v>16.5</v>
      </c>
      <c r="G175" s="57" t="s">
        <v>393</v>
      </c>
      <c r="H175" s="43">
        <v>75</v>
      </c>
      <c r="K175" s="49">
        <f>計分版!D175</f>
        <v>2.9500000000000004E-9</v>
      </c>
      <c r="L175" s="49">
        <f>入學要求!S186</f>
        <v>0</v>
      </c>
      <c r="M175" s="43"/>
      <c r="N175" s="43"/>
    </row>
    <row r="176" spans="1:23">
      <c r="A176" s="43" t="s">
        <v>489</v>
      </c>
      <c r="B176" s="43" t="s">
        <v>608</v>
      </c>
      <c r="C176" s="43" t="s">
        <v>598</v>
      </c>
      <c r="D176" s="162" t="s">
        <v>865</v>
      </c>
      <c r="E176" s="57" t="s">
        <v>393</v>
      </c>
      <c r="F176" s="43">
        <v>17.3</v>
      </c>
      <c r="G176" s="57" t="s">
        <v>393</v>
      </c>
      <c r="H176" s="43">
        <v>40</v>
      </c>
      <c r="K176" s="49">
        <f>計分版!D176</f>
        <v>2.9500000000000004E-9</v>
      </c>
      <c r="L176" s="49">
        <f>入學要求!S187</f>
        <v>0</v>
      </c>
      <c r="M176" s="43"/>
      <c r="N176" s="43"/>
    </row>
    <row r="177" spans="1:16">
      <c r="A177" s="43" t="s">
        <v>490</v>
      </c>
      <c r="B177" s="43" t="s">
        <v>608</v>
      </c>
      <c r="C177" s="43" t="s">
        <v>599</v>
      </c>
      <c r="D177" s="162" t="s">
        <v>865</v>
      </c>
      <c r="E177" s="57" t="s">
        <v>393</v>
      </c>
      <c r="F177" s="43">
        <v>17.8</v>
      </c>
      <c r="G177" s="57" t="s">
        <v>393</v>
      </c>
      <c r="H177" s="43">
        <v>48</v>
      </c>
      <c r="K177" s="49">
        <f>計分版!D177</f>
        <v>2.9500000000000004E-9</v>
      </c>
      <c r="L177" s="49">
        <f>入學要求!S188</f>
        <v>0</v>
      </c>
      <c r="M177" s="43"/>
      <c r="N177" s="43"/>
    </row>
    <row r="178" spans="1:16">
      <c r="A178" s="43" t="s">
        <v>491</v>
      </c>
      <c r="B178" s="43" t="s">
        <v>608</v>
      </c>
      <c r="C178" s="43" t="s">
        <v>600</v>
      </c>
      <c r="D178" s="162" t="s">
        <v>865</v>
      </c>
      <c r="E178" s="57" t="s">
        <v>393</v>
      </c>
      <c r="F178" s="43">
        <v>18.600000000000001</v>
      </c>
      <c r="G178" s="57" t="s">
        <v>393</v>
      </c>
      <c r="H178" s="43">
        <v>73</v>
      </c>
      <c r="K178" s="49">
        <f>計分版!D178</f>
        <v>2.9500000000000004E-9</v>
      </c>
      <c r="L178" s="49">
        <f>入學要求!S189</f>
        <v>0</v>
      </c>
      <c r="M178" s="43"/>
      <c r="N178" s="43"/>
    </row>
    <row r="179" spans="1:16">
      <c r="A179" s="43" t="s">
        <v>492</v>
      </c>
      <c r="B179" s="43" t="s">
        <v>608</v>
      </c>
      <c r="C179" s="43" t="s">
        <v>601</v>
      </c>
      <c r="D179" s="162" t="s">
        <v>865</v>
      </c>
      <c r="E179" s="57" t="s">
        <v>393</v>
      </c>
      <c r="F179" s="43">
        <v>17.3</v>
      </c>
      <c r="G179" s="57" t="s">
        <v>393</v>
      </c>
      <c r="H179" s="43">
        <v>53</v>
      </c>
      <c r="K179" s="49">
        <f>計分版!D179</f>
        <v>2.9500000000000004E-9</v>
      </c>
      <c r="L179" s="49">
        <f>入學要求!S190</f>
        <v>0</v>
      </c>
      <c r="M179" s="43"/>
      <c r="N179" s="43"/>
    </row>
    <row r="180" spans="1:16">
      <c r="A180" s="43" t="s">
        <v>493</v>
      </c>
      <c r="B180" s="43" t="s">
        <v>608</v>
      </c>
      <c r="C180" s="43" t="s">
        <v>602</v>
      </c>
      <c r="D180" s="162" t="s">
        <v>865</v>
      </c>
      <c r="E180" s="57" t="s">
        <v>393</v>
      </c>
      <c r="F180" s="43">
        <v>17.600000000000001</v>
      </c>
      <c r="G180" s="57" t="s">
        <v>393</v>
      </c>
      <c r="H180" s="43">
        <v>88</v>
      </c>
      <c r="K180" s="49">
        <f>計分版!D180</f>
        <v>2.9500000000000004E-9</v>
      </c>
      <c r="L180" s="49">
        <f>入學要求!S191</f>
        <v>0</v>
      </c>
      <c r="M180" s="43"/>
      <c r="N180" s="43"/>
    </row>
    <row r="181" spans="1:16">
      <c r="A181" s="43" t="s">
        <v>494</v>
      </c>
      <c r="B181" s="43" t="s">
        <v>608</v>
      </c>
      <c r="C181" s="43" t="s">
        <v>603</v>
      </c>
      <c r="D181" s="162" t="s">
        <v>865</v>
      </c>
      <c r="E181" s="57" t="s">
        <v>393</v>
      </c>
      <c r="F181" s="43">
        <v>17.7</v>
      </c>
      <c r="G181" s="57" t="s">
        <v>393</v>
      </c>
      <c r="H181" s="43">
        <v>71</v>
      </c>
      <c r="K181" s="49">
        <f>計分版!D181</f>
        <v>2.9500000000000004E-9</v>
      </c>
      <c r="L181" s="49">
        <f>入學要求!S192</f>
        <v>0</v>
      </c>
      <c r="M181" s="43"/>
      <c r="N181" s="43"/>
    </row>
    <row r="182" spans="1:16">
      <c r="A182" s="43" t="s">
        <v>495</v>
      </c>
      <c r="B182" s="43" t="s">
        <v>608</v>
      </c>
      <c r="C182" s="43" t="s">
        <v>604</v>
      </c>
      <c r="D182" s="162" t="s">
        <v>865</v>
      </c>
      <c r="E182" s="57" t="s">
        <v>393</v>
      </c>
      <c r="F182" s="43">
        <v>15</v>
      </c>
      <c r="G182" s="57" t="s">
        <v>393</v>
      </c>
      <c r="H182" s="43">
        <v>43</v>
      </c>
      <c r="K182" s="49">
        <f>計分版!D182</f>
        <v>2.9500000000000004E-9</v>
      </c>
      <c r="L182" s="49">
        <f>入學要求!S193</f>
        <v>0</v>
      </c>
      <c r="M182" s="43"/>
      <c r="N182" s="43"/>
    </row>
    <row r="183" spans="1:16">
      <c r="A183" s="43" t="s">
        <v>496</v>
      </c>
      <c r="B183" s="43" t="s">
        <v>608</v>
      </c>
      <c r="C183" s="43" t="s">
        <v>605</v>
      </c>
      <c r="D183" s="162" t="s">
        <v>865</v>
      </c>
      <c r="E183" s="57" t="s">
        <v>393</v>
      </c>
      <c r="F183" s="43">
        <v>16.399999999999999</v>
      </c>
      <c r="G183" s="57" t="s">
        <v>393</v>
      </c>
      <c r="H183" s="43">
        <v>55</v>
      </c>
      <c r="K183" s="49">
        <f>計分版!D183</f>
        <v>2.9500000000000004E-9</v>
      </c>
      <c r="L183" s="49">
        <f>入學要求!S194</f>
        <v>0</v>
      </c>
      <c r="M183" s="43"/>
      <c r="N183" s="43"/>
    </row>
    <row r="184" spans="1:16">
      <c r="K184" s="49"/>
      <c r="M184" s="43"/>
      <c r="N184" s="43"/>
    </row>
    <row r="185" spans="1:16">
      <c r="K185" s="49"/>
    </row>
    <row r="186" spans="1:16">
      <c r="B186" s="49"/>
      <c r="C186" s="49"/>
      <c r="D186" s="204"/>
      <c r="E186" s="43" t="s">
        <v>403</v>
      </c>
      <c r="F186" s="43" t="s">
        <v>1156</v>
      </c>
      <c r="G186" s="43" t="s">
        <v>1157</v>
      </c>
      <c r="K186" s="49" t="str">
        <f>計分版!D186</f>
        <v>總分</v>
      </c>
      <c r="M186" s="43"/>
      <c r="N186" s="43"/>
    </row>
    <row r="187" spans="1:16">
      <c r="A187" s="43" t="s">
        <v>619</v>
      </c>
      <c r="B187" s="49" t="s">
        <v>687</v>
      </c>
      <c r="C187" s="43" t="s">
        <v>621</v>
      </c>
      <c r="D187" s="204" t="s">
        <v>688</v>
      </c>
      <c r="E187" s="57" t="s">
        <v>393</v>
      </c>
      <c r="F187" s="43">
        <v>31</v>
      </c>
      <c r="G187" s="43">
        <v>30</v>
      </c>
      <c r="H187" s="43">
        <v>21</v>
      </c>
      <c r="K187" s="49">
        <f>計分版!D187</f>
        <v>1.9500000000000001E-9</v>
      </c>
      <c r="L187" s="43">
        <f>入學要求!S113</f>
        <v>0</v>
      </c>
      <c r="M187" s="43"/>
      <c r="N187" s="43"/>
    </row>
    <row r="188" spans="1:16">
      <c r="A188" s="43" t="s">
        <v>622</v>
      </c>
      <c r="B188" s="49" t="s">
        <v>687</v>
      </c>
      <c r="C188" s="43" t="s">
        <v>624</v>
      </c>
      <c r="D188" s="204" t="s">
        <v>886</v>
      </c>
      <c r="E188" s="57" t="s">
        <v>393</v>
      </c>
      <c r="F188" s="43">
        <v>23.5</v>
      </c>
      <c r="G188" s="43">
        <v>23</v>
      </c>
      <c r="H188" s="43" t="s">
        <v>1182</v>
      </c>
      <c r="K188" s="49">
        <f>計分版!D188</f>
        <v>3.7000000000000005E-9</v>
      </c>
      <c r="L188" s="43">
        <f>入學要求!S114</f>
        <v>0</v>
      </c>
      <c r="M188" s="43"/>
      <c r="N188" s="43"/>
    </row>
    <row r="189" spans="1:16">
      <c r="A189" s="43" t="s">
        <v>625</v>
      </c>
      <c r="B189" s="49" t="s">
        <v>687</v>
      </c>
      <c r="C189" s="43" t="s">
        <v>627</v>
      </c>
      <c r="D189" s="204" t="s">
        <v>689</v>
      </c>
      <c r="E189" s="57" t="s">
        <v>393</v>
      </c>
      <c r="F189" s="43">
        <v>23.5</v>
      </c>
      <c r="G189" s="43">
        <v>23</v>
      </c>
      <c r="H189" s="43" t="s">
        <v>1182</v>
      </c>
      <c r="K189" s="49">
        <f>計分版!D189</f>
        <v>3.2500000000000002E-9</v>
      </c>
      <c r="L189" s="43">
        <f>入學要求!S115</f>
        <v>0</v>
      </c>
      <c r="M189" s="43"/>
      <c r="N189" s="43"/>
    </row>
    <row r="190" spans="1:16">
      <c r="A190" s="43" t="s">
        <v>628</v>
      </c>
      <c r="B190" s="49" t="s">
        <v>687</v>
      </c>
      <c r="C190" s="43" t="s">
        <v>629</v>
      </c>
      <c r="D190" s="204" t="s">
        <v>689</v>
      </c>
      <c r="E190" s="57" t="s">
        <v>393</v>
      </c>
      <c r="F190" s="43">
        <v>38</v>
      </c>
      <c r="G190" s="43">
        <v>35.5</v>
      </c>
      <c r="H190" s="43">
        <v>674</v>
      </c>
      <c r="K190" s="49">
        <f>計分版!D190</f>
        <v>2.8499999999999999E-9</v>
      </c>
      <c r="L190" s="43">
        <f>入學要求!S116</f>
        <v>0</v>
      </c>
      <c r="M190" s="43"/>
      <c r="N190" s="43"/>
    </row>
    <row r="191" spans="1:16">
      <c r="A191" s="43" t="s">
        <v>630</v>
      </c>
      <c r="B191" s="49" t="s">
        <v>687</v>
      </c>
      <c r="C191" s="43" t="s">
        <v>632</v>
      </c>
      <c r="D191" s="204" t="s">
        <v>689</v>
      </c>
      <c r="E191" s="57" t="s">
        <v>393</v>
      </c>
      <c r="F191" s="43">
        <v>44</v>
      </c>
      <c r="G191" s="43">
        <v>40</v>
      </c>
      <c r="H191" s="43">
        <v>25</v>
      </c>
      <c r="K191" s="49">
        <f>計分版!D191</f>
        <v>2.8499999999999999E-9</v>
      </c>
      <c r="L191" s="43">
        <f>入學要求!S117</f>
        <v>0</v>
      </c>
      <c r="M191" s="43"/>
      <c r="N191" s="43"/>
      <c r="P191" s="97"/>
    </row>
    <row r="192" spans="1:16">
      <c r="A192" s="43" t="s">
        <v>633</v>
      </c>
      <c r="B192" s="49" t="s">
        <v>687</v>
      </c>
      <c r="C192" s="43" t="s">
        <v>635</v>
      </c>
      <c r="D192" s="204" t="s">
        <v>690</v>
      </c>
      <c r="E192" s="57" t="s">
        <v>393</v>
      </c>
      <c r="F192" s="43">
        <v>36</v>
      </c>
      <c r="G192" s="43">
        <v>35</v>
      </c>
      <c r="H192" s="43">
        <v>385</v>
      </c>
      <c r="K192" s="49">
        <f>計分版!D192</f>
        <v>4.3500000000000001E-9</v>
      </c>
      <c r="L192" s="43">
        <f>入學要求!S118</f>
        <v>0</v>
      </c>
      <c r="M192" s="43"/>
      <c r="N192" s="43"/>
      <c r="P192" s="97"/>
    </row>
    <row r="193" spans="1:16">
      <c r="A193" s="43" t="s">
        <v>636</v>
      </c>
      <c r="B193" s="49" t="s">
        <v>687</v>
      </c>
      <c r="C193" s="43" t="s">
        <v>638</v>
      </c>
      <c r="D193" s="204" t="s">
        <v>690</v>
      </c>
      <c r="E193" s="57" t="s">
        <v>393</v>
      </c>
      <c r="F193" s="43">
        <v>40</v>
      </c>
      <c r="G193" s="43">
        <v>37</v>
      </c>
      <c r="H193" s="43">
        <v>25</v>
      </c>
      <c r="K193" s="49">
        <f>計分版!D193</f>
        <v>4.3500000000000001E-9</v>
      </c>
      <c r="L193" s="43">
        <f>入學要求!S119</f>
        <v>0</v>
      </c>
      <c r="M193" s="43"/>
      <c r="N193" s="43"/>
      <c r="P193" s="97"/>
    </row>
    <row r="194" spans="1:16">
      <c r="A194" s="43" t="s">
        <v>639</v>
      </c>
      <c r="B194" s="49" t="s">
        <v>687</v>
      </c>
      <c r="C194" s="43" t="s">
        <v>641</v>
      </c>
      <c r="D194" s="204" t="s">
        <v>872</v>
      </c>
      <c r="E194" s="57" t="s">
        <v>393</v>
      </c>
      <c r="F194" s="43">
        <v>45</v>
      </c>
      <c r="G194" s="43">
        <v>44</v>
      </c>
      <c r="H194" s="43">
        <v>30</v>
      </c>
      <c r="K194" s="49">
        <f>計分版!D194</f>
        <v>4.3999999999999997E-9</v>
      </c>
      <c r="L194" s="43">
        <f>入學要求!S120</f>
        <v>0</v>
      </c>
      <c r="M194" s="43"/>
      <c r="N194" s="43"/>
    </row>
    <row r="195" spans="1:16">
      <c r="A195" s="43" t="s">
        <v>642</v>
      </c>
      <c r="B195" s="49" t="s">
        <v>687</v>
      </c>
      <c r="C195" s="43" t="s">
        <v>644</v>
      </c>
      <c r="D195" s="204" t="s">
        <v>690</v>
      </c>
      <c r="E195" s="57" t="s">
        <v>393</v>
      </c>
      <c r="F195" s="43">
        <v>52</v>
      </c>
      <c r="G195" s="43">
        <v>50</v>
      </c>
      <c r="H195" s="43">
        <v>26</v>
      </c>
      <c r="K195" s="49">
        <f>計分版!D195</f>
        <v>4.3500000000000001E-9</v>
      </c>
      <c r="L195" s="43">
        <f>入學要求!S121</f>
        <v>0</v>
      </c>
      <c r="M195" s="43"/>
      <c r="N195" s="43"/>
    </row>
    <row r="196" spans="1:16">
      <c r="A196" s="43" t="s">
        <v>645</v>
      </c>
      <c r="B196" s="49" t="s">
        <v>687</v>
      </c>
      <c r="C196" s="43" t="s">
        <v>647</v>
      </c>
      <c r="D196" s="204" t="s">
        <v>690</v>
      </c>
      <c r="E196" s="57" t="s">
        <v>393</v>
      </c>
      <c r="F196" s="43">
        <v>38</v>
      </c>
      <c r="G196" s="43">
        <v>37</v>
      </c>
      <c r="H196" s="43">
        <v>25</v>
      </c>
      <c r="K196" s="49">
        <f>計分版!D196</f>
        <v>4.3500000000000001E-9</v>
      </c>
      <c r="L196" s="43">
        <f>入學要求!S122</f>
        <v>0</v>
      </c>
      <c r="M196" s="43"/>
      <c r="N196" s="43"/>
    </row>
    <row r="197" spans="1:16">
      <c r="A197" s="43" t="s">
        <v>648</v>
      </c>
      <c r="B197" s="49" t="s">
        <v>687</v>
      </c>
      <c r="C197" s="43" t="s">
        <v>650</v>
      </c>
      <c r="D197" s="204" t="s">
        <v>690</v>
      </c>
      <c r="E197" s="57" t="s">
        <v>393</v>
      </c>
      <c r="F197" s="43">
        <v>36</v>
      </c>
      <c r="G197" s="43">
        <v>36</v>
      </c>
      <c r="H197" s="43">
        <v>25</v>
      </c>
      <c r="K197" s="49">
        <f>計分版!D197</f>
        <v>4.3500000000000001E-9</v>
      </c>
      <c r="L197" s="43">
        <f>入學要求!S123</f>
        <v>0</v>
      </c>
      <c r="M197" s="43"/>
      <c r="N197" s="43"/>
    </row>
    <row r="198" spans="1:16">
      <c r="A198" s="43" t="s">
        <v>651</v>
      </c>
      <c r="B198" s="49" t="s">
        <v>687</v>
      </c>
      <c r="C198" s="43" t="s">
        <v>653</v>
      </c>
      <c r="D198" s="204" t="s">
        <v>690</v>
      </c>
      <c r="E198" s="57" t="s">
        <v>393</v>
      </c>
      <c r="F198" s="43">
        <v>37</v>
      </c>
      <c r="G198" s="43">
        <v>36</v>
      </c>
      <c r="H198" s="43">
        <v>25</v>
      </c>
      <c r="K198" s="49">
        <f>計分版!D198</f>
        <v>4.3500000000000001E-9</v>
      </c>
      <c r="L198" s="43">
        <f>入學要求!S124</f>
        <v>0</v>
      </c>
      <c r="M198" s="43"/>
      <c r="N198" s="43"/>
      <c r="P198" s="97"/>
    </row>
    <row r="199" spans="1:16">
      <c r="A199" s="43" t="s">
        <v>654</v>
      </c>
      <c r="B199" s="49" t="s">
        <v>687</v>
      </c>
      <c r="C199" s="43" t="s">
        <v>656</v>
      </c>
      <c r="D199" s="204" t="s">
        <v>690</v>
      </c>
      <c r="E199" s="57" t="s">
        <v>393</v>
      </c>
      <c r="F199" s="43">
        <v>36</v>
      </c>
      <c r="G199" s="43">
        <v>35</v>
      </c>
      <c r="H199" s="43">
        <v>25</v>
      </c>
      <c r="K199" s="49">
        <f>計分版!D199</f>
        <v>4.3500000000000001E-9</v>
      </c>
      <c r="L199" s="43">
        <f>入學要求!S125</f>
        <v>0</v>
      </c>
      <c r="M199" s="43"/>
      <c r="N199" s="43"/>
    </row>
    <row r="200" spans="1:16">
      <c r="A200" s="43" t="s">
        <v>657</v>
      </c>
      <c r="B200" s="49" t="s">
        <v>687</v>
      </c>
      <c r="C200" s="43" t="s">
        <v>659</v>
      </c>
      <c r="D200" s="204" t="s">
        <v>690</v>
      </c>
      <c r="E200" s="57" t="s">
        <v>393</v>
      </c>
      <c r="F200" s="43">
        <v>37</v>
      </c>
      <c r="G200" s="43">
        <v>37</v>
      </c>
      <c r="H200" s="43">
        <v>60</v>
      </c>
      <c r="K200" s="49">
        <f>計分版!D200</f>
        <v>4.3500000000000001E-9</v>
      </c>
      <c r="L200" s="43">
        <f>入學要求!S126</f>
        <v>0</v>
      </c>
      <c r="M200" s="43"/>
      <c r="N200" s="43"/>
    </row>
    <row r="201" spans="1:16">
      <c r="A201" s="43" t="s">
        <v>660</v>
      </c>
      <c r="B201" s="49" t="s">
        <v>687</v>
      </c>
      <c r="C201" s="43" t="s">
        <v>662</v>
      </c>
      <c r="D201" s="204" t="s">
        <v>872</v>
      </c>
      <c r="E201" s="57" t="s">
        <v>393</v>
      </c>
      <c r="F201" s="43">
        <v>48.5</v>
      </c>
      <c r="G201" s="43">
        <v>47.5</v>
      </c>
      <c r="H201" s="43">
        <v>26</v>
      </c>
      <c r="K201" s="49">
        <f>計分版!D201</f>
        <v>4.3999999999999997E-9</v>
      </c>
      <c r="L201" s="43">
        <f>入學要求!S127</f>
        <v>0</v>
      </c>
      <c r="M201" s="43"/>
      <c r="N201" s="43"/>
    </row>
    <row r="202" spans="1:16">
      <c r="A202" s="43" t="s">
        <v>663</v>
      </c>
      <c r="B202" s="49" t="s">
        <v>687</v>
      </c>
      <c r="C202" s="43" t="s">
        <v>665</v>
      </c>
      <c r="D202" s="204" t="s">
        <v>872</v>
      </c>
      <c r="E202" s="57" t="s">
        <v>393</v>
      </c>
      <c r="F202" s="43">
        <v>53.5</v>
      </c>
      <c r="G202" s="43">
        <v>51.5</v>
      </c>
      <c r="H202" s="43">
        <v>20</v>
      </c>
      <c r="K202" s="49">
        <f>計分版!D202</f>
        <v>4.3999999999999997E-9</v>
      </c>
      <c r="L202" s="43">
        <f>入學要求!S128</f>
        <v>0</v>
      </c>
      <c r="M202" s="43"/>
      <c r="N202" s="43"/>
    </row>
    <row r="203" spans="1:16">
      <c r="A203" s="43" t="s">
        <v>666</v>
      </c>
      <c r="B203" s="49" t="s">
        <v>687</v>
      </c>
      <c r="C203" s="43" t="s">
        <v>668</v>
      </c>
      <c r="D203" s="204" t="s">
        <v>691</v>
      </c>
      <c r="E203" s="57" t="s">
        <v>393</v>
      </c>
      <c r="F203" s="43">
        <v>32</v>
      </c>
      <c r="G203" s="43">
        <v>31.5</v>
      </c>
      <c r="H203" s="43">
        <v>50</v>
      </c>
      <c r="K203" s="49">
        <f>計分版!D203</f>
        <v>3.9000000000000002E-9</v>
      </c>
      <c r="L203" s="43">
        <f>入學要求!S129</f>
        <v>0</v>
      </c>
      <c r="M203" s="43"/>
      <c r="N203" s="43"/>
    </row>
    <row r="204" spans="1:16">
      <c r="A204" s="43" t="s">
        <v>669</v>
      </c>
      <c r="B204" s="49" t="s">
        <v>687</v>
      </c>
      <c r="C204" s="43" t="s">
        <v>671</v>
      </c>
      <c r="D204" s="204" t="s">
        <v>690</v>
      </c>
      <c r="E204" s="57" t="s">
        <v>393</v>
      </c>
      <c r="F204" s="43">
        <v>37</v>
      </c>
      <c r="G204" s="43">
        <v>35.5</v>
      </c>
      <c r="H204" s="43">
        <v>28</v>
      </c>
      <c r="K204" s="49">
        <f>計分版!D204</f>
        <v>4.3999999999999997E-9</v>
      </c>
      <c r="L204" s="43">
        <f>入學要求!S130</f>
        <v>0</v>
      </c>
      <c r="M204" s="43"/>
      <c r="N204" s="43"/>
      <c r="P204" s="97"/>
    </row>
    <row r="205" spans="1:16">
      <c r="A205" s="43" t="s">
        <v>672</v>
      </c>
      <c r="B205" s="49" t="s">
        <v>687</v>
      </c>
      <c r="C205" s="43" t="s">
        <v>674</v>
      </c>
      <c r="D205" s="204" t="s">
        <v>690</v>
      </c>
      <c r="E205" s="57" t="s">
        <v>393</v>
      </c>
      <c r="F205" s="43">
        <v>43.5</v>
      </c>
      <c r="G205" s="43">
        <v>42</v>
      </c>
      <c r="H205" s="43">
        <v>26</v>
      </c>
      <c r="K205" s="49">
        <f>計分版!D205</f>
        <v>3.65E-9</v>
      </c>
      <c r="L205" s="43">
        <f>入學要求!S131</f>
        <v>0</v>
      </c>
      <c r="M205" s="43"/>
      <c r="N205" s="43"/>
    </row>
    <row r="206" spans="1:16">
      <c r="A206" s="43" t="s">
        <v>675</v>
      </c>
      <c r="B206" s="49" t="s">
        <v>687</v>
      </c>
      <c r="C206" s="43" t="s">
        <v>677</v>
      </c>
      <c r="D206" s="204" t="s">
        <v>690</v>
      </c>
      <c r="E206" s="57" t="s">
        <v>393</v>
      </c>
      <c r="F206" s="43">
        <v>41</v>
      </c>
      <c r="G206" s="43">
        <v>38</v>
      </c>
      <c r="H206" s="43">
        <v>15</v>
      </c>
      <c r="K206" s="49">
        <f>計分版!D206</f>
        <v>3.8500000000000006E-9</v>
      </c>
      <c r="L206" s="43">
        <f>入學要求!S132</f>
        <v>0</v>
      </c>
      <c r="M206" s="43"/>
      <c r="N206" s="43"/>
    </row>
    <row r="207" spans="1:16">
      <c r="A207" s="43" t="s">
        <v>678</v>
      </c>
      <c r="B207" s="49" t="s">
        <v>687</v>
      </c>
      <c r="C207" s="43" t="s">
        <v>680</v>
      </c>
      <c r="D207" s="204" t="s">
        <v>690</v>
      </c>
      <c r="E207" s="57" t="s">
        <v>393</v>
      </c>
      <c r="F207" s="43">
        <v>46</v>
      </c>
      <c r="G207" s="43">
        <v>43</v>
      </c>
      <c r="H207" s="43">
        <v>15</v>
      </c>
      <c r="K207" s="49">
        <f>計分版!D207</f>
        <v>4.6499999999999995E-9</v>
      </c>
      <c r="L207" s="43">
        <f>入學要求!S133</f>
        <v>0</v>
      </c>
      <c r="M207" s="43"/>
      <c r="N207" s="43"/>
    </row>
    <row r="208" spans="1:16">
      <c r="A208" s="43" t="s">
        <v>681</v>
      </c>
      <c r="B208" s="49" t="s">
        <v>687</v>
      </c>
      <c r="C208" s="43" t="s">
        <v>683</v>
      </c>
      <c r="D208" s="204" t="s">
        <v>690</v>
      </c>
      <c r="E208" s="57" t="s">
        <v>393</v>
      </c>
      <c r="F208" s="43">
        <v>53.5</v>
      </c>
      <c r="G208" s="43">
        <v>51.5</v>
      </c>
      <c r="H208" s="43">
        <v>23</v>
      </c>
      <c r="K208" s="49">
        <f>計分版!D208</f>
        <v>4.3999999999999997E-9</v>
      </c>
      <c r="L208" s="43">
        <f>入學要求!S134</f>
        <v>0</v>
      </c>
      <c r="M208" s="43"/>
      <c r="N208" s="43"/>
    </row>
    <row r="209" spans="1:14">
      <c r="A209" s="43" t="s">
        <v>684</v>
      </c>
      <c r="B209" s="49" t="s">
        <v>687</v>
      </c>
      <c r="C209" s="43" t="s">
        <v>686</v>
      </c>
      <c r="D209" s="204" t="s">
        <v>872</v>
      </c>
      <c r="E209" s="57" t="s">
        <v>393</v>
      </c>
      <c r="F209" s="43">
        <v>57.5</v>
      </c>
      <c r="G209" s="43">
        <v>55</v>
      </c>
      <c r="H209" s="43">
        <v>21</v>
      </c>
      <c r="K209" s="49">
        <f>計分版!D209</f>
        <v>3.65E-9</v>
      </c>
      <c r="L209" s="43">
        <f>入學要求!S135</f>
        <v>0</v>
      </c>
      <c r="M209" s="43"/>
      <c r="N209" s="43"/>
    </row>
    <row r="210" spans="1:14">
      <c r="D210" s="204"/>
      <c r="K210" s="49"/>
      <c r="M210" s="43"/>
      <c r="N210" s="43"/>
    </row>
    <row r="211" spans="1:14">
      <c r="E211" s="43" t="s">
        <v>403</v>
      </c>
      <c r="F211" s="43" t="s">
        <v>1156</v>
      </c>
      <c r="G211" s="43" t="s">
        <v>1157</v>
      </c>
      <c r="K211" s="49" t="str">
        <f>計分版!D211</f>
        <v>總分</v>
      </c>
      <c r="M211" s="43"/>
      <c r="N211" s="43"/>
    </row>
    <row r="212" spans="1:14">
      <c r="A212" s="43" t="s">
        <v>692</v>
      </c>
      <c r="B212" s="43" t="s">
        <v>843</v>
      </c>
      <c r="C212" s="43" t="s">
        <v>693</v>
      </c>
      <c r="D212" s="162" t="s">
        <v>220</v>
      </c>
      <c r="E212" s="43" t="s">
        <v>393</v>
      </c>
      <c r="F212" s="43">
        <v>27</v>
      </c>
      <c r="G212" s="43">
        <v>27</v>
      </c>
      <c r="H212" s="43">
        <v>10</v>
      </c>
      <c r="K212" s="49">
        <f>計分版!D212</f>
        <v>2.8499999999999999E-9</v>
      </c>
      <c r="L212" s="43">
        <f>入學要求!S222</f>
        <v>0</v>
      </c>
      <c r="M212" s="43"/>
      <c r="N212" s="43"/>
    </row>
    <row r="213" spans="1:14">
      <c r="A213" s="43" t="s">
        <v>695</v>
      </c>
      <c r="B213" s="43" t="s">
        <v>843</v>
      </c>
      <c r="C213" s="43" t="s">
        <v>696</v>
      </c>
      <c r="D213" s="162" t="s">
        <v>220</v>
      </c>
      <c r="E213" s="43" t="s">
        <v>393</v>
      </c>
      <c r="F213" s="43">
        <v>28</v>
      </c>
      <c r="G213" s="43">
        <v>27</v>
      </c>
      <c r="H213" s="43">
        <v>10</v>
      </c>
      <c r="K213" s="49">
        <f>計分版!D213</f>
        <v>2.8499999999999999E-9</v>
      </c>
      <c r="L213" s="43">
        <f>入學要求!S223</f>
        <v>0</v>
      </c>
      <c r="M213" s="43"/>
      <c r="N213" s="43"/>
    </row>
    <row r="214" spans="1:14">
      <c r="A214" s="43" t="s">
        <v>698</v>
      </c>
      <c r="B214" s="43" t="s">
        <v>843</v>
      </c>
      <c r="C214" s="43" t="s">
        <v>699</v>
      </c>
      <c r="D214" s="162" t="s">
        <v>215</v>
      </c>
      <c r="E214" s="43" t="s">
        <v>393</v>
      </c>
      <c r="F214" s="43">
        <v>25</v>
      </c>
      <c r="G214" s="43">
        <v>25</v>
      </c>
      <c r="H214" s="43">
        <v>141</v>
      </c>
      <c r="K214" s="49">
        <f>計分版!D214</f>
        <v>2.8499999999999999E-9</v>
      </c>
      <c r="L214" s="43">
        <f>入學要求!S224</f>
        <v>0</v>
      </c>
      <c r="M214" s="43"/>
      <c r="N214" s="43"/>
    </row>
    <row r="215" spans="1:14">
      <c r="A215" s="43" t="s">
        <v>701</v>
      </c>
      <c r="B215" s="43" t="s">
        <v>843</v>
      </c>
      <c r="C215" s="43" t="s">
        <v>702</v>
      </c>
      <c r="D215" s="162" t="s">
        <v>215</v>
      </c>
      <c r="E215" s="43" t="s">
        <v>393</v>
      </c>
      <c r="F215" s="43">
        <v>25</v>
      </c>
      <c r="G215" s="43">
        <v>25</v>
      </c>
      <c r="H215" s="43">
        <v>71</v>
      </c>
      <c r="K215" s="49">
        <f>計分版!D215</f>
        <v>2.8499999999999999E-9</v>
      </c>
      <c r="L215" s="43">
        <f>入學要求!S225</f>
        <v>0</v>
      </c>
      <c r="M215" s="43"/>
      <c r="N215" s="43"/>
    </row>
    <row r="216" spans="1:14">
      <c r="A216" s="43" t="s">
        <v>704</v>
      </c>
      <c r="B216" s="43" t="s">
        <v>843</v>
      </c>
      <c r="C216" s="43" t="s">
        <v>705</v>
      </c>
      <c r="D216" s="162" t="s">
        <v>215</v>
      </c>
      <c r="E216" s="43" t="s">
        <v>393</v>
      </c>
      <c r="F216" s="43">
        <v>27.5</v>
      </c>
      <c r="G216" s="43">
        <v>27</v>
      </c>
      <c r="H216" s="43">
        <v>83</v>
      </c>
      <c r="K216" s="49">
        <f>計分版!D216</f>
        <v>2.9499999999999999E-9</v>
      </c>
      <c r="L216" s="43">
        <f>入學要求!S226</f>
        <v>0</v>
      </c>
      <c r="M216" s="43"/>
      <c r="N216" s="43"/>
    </row>
    <row r="217" spans="1:14">
      <c r="A217" s="43" t="s">
        <v>707</v>
      </c>
      <c r="B217" s="43" t="s">
        <v>843</v>
      </c>
      <c r="C217" s="43" t="s">
        <v>708</v>
      </c>
      <c r="D217" s="162" t="s">
        <v>215</v>
      </c>
      <c r="E217" s="43" t="s">
        <v>393</v>
      </c>
      <c r="F217" s="43">
        <v>24</v>
      </c>
      <c r="G217" s="43">
        <v>24</v>
      </c>
      <c r="H217" s="43">
        <v>83</v>
      </c>
      <c r="K217" s="49">
        <f>計分版!D217</f>
        <v>2.8499999999999999E-9</v>
      </c>
      <c r="L217" s="43">
        <f>入學要求!S227</f>
        <v>0</v>
      </c>
      <c r="M217" s="43"/>
      <c r="N217" s="43"/>
    </row>
    <row r="218" spans="1:14">
      <c r="A218" s="43" t="s">
        <v>710</v>
      </c>
      <c r="B218" s="43" t="s">
        <v>843</v>
      </c>
      <c r="C218" s="43" t="s">
        <v>711</v>
      </c>
      <c r="D218" s="162" t="s">
        <v>215</v>
      </c>
      <c r="E218" s="43" t="s">
        <v>393</v>
      </c>
      <c r="F218" s="43" t="s">
        <v>899</v>
      </c>
      <c r="G218" s="43" t="s">
        <v>899</v>
      </c>
      <c r="H218" s="43">
        <v>22</v>
      </c>
      <c r="K218" s="49" t="str">
        <f>計分版!D218</f>
        <v>/</v>
      </c>
      <c r="L218" s="43">
        <f>入學要求!S228</f>
        <v>0</v>
      </c>
      <c r="M218" s="43"/>
      <c r="N218" s="43"/>
    </row>
    <row r="219" spans="1:14">
      <c r="A219" s="43" t="s">
        <v>713</v>
      </c>
      <c r="B219" s="43" t="s">
        <v>843</v>
      </c>
      <c r="C219" s="43" t="s">
        <v>714</v>
      </c>
      <c r="D219" s="162" t="s">
        <v>215</v>
      </c>
      <c r="E219" s="43" t="s">
        <v>393</v>
      </c>
      <c r="F219" s="43" t="s">
        <v>899</v>
      </c>
      <c r="G219" s="43" t="s">
        <v>899</v>
      </c>
      <c r="H219" s="43">
        <v>59</v>
      </c>
      <c r="K219" s="49" t="str">
        <f>計分版!D219</f>
        <v>/</v>
      </c>
      <c r="L219" s="43">
        <f>入學要求!S229</f>
        <v>0</v>
      </c>
      <c r="M219" s="43"/>
      <c r="N219" s="43"/>
    </row>
    <row r="220" spans="1:14">
      <c r="A220" s="43" t="s">
        <v>716</v>
      </c>
      <c r="B220" s="43" t="s">
        <v>843</v>
      </c>
      <c r="C220" s="43" t="s">
        <v>717</v>
      </c>
      <c r="D220" s="162" t="s">
        <v>215</v>
      </c>
      <c r="E220" s="43" t="s">
        <v>393</v>
      </c>
      <c r="F220" s="43">
        <v>25</v>
      </c>
      <c r="G220" s="43">
        <v>24</v>
      </c>
      <c r="H220" s="43">
        <v>41</v>
      </c>
      <c r="K220" s="49">
        <f>計分版!D220</f>
        <v>2.8499999999999999E-9</v>
      </c>
      <c r="L220" s="43">
        <f>入學要求!S230</f>
        <v>0</v>
      </c>
      <c r="M220" s="43"/>
      <c r="N220" s="43"/>
    </row>
    <row r="221" spans="1:14">
      <c r="A221" s="43" t="s">
        <v>719</v>
      </c>
      <c r="B221" s="43" t="s">
        <v>843</v>
      </c>
      <c r="C221" s="43" t="s">
        <v>720</v>
      </c>
      <c r="D221" s="162" t="s">
        <v>215</v>
      </c>
      <c r="E221" s="43" t="s">
        <v>393</v>
      </c>
      <c r="F221" s="43" t="s">
        <v>899</v>
      </c>
      <c r="G221" s="43" t="s">
        <v>899</v>
      </c>
      <c r="H221" s="43">
        <v>15</v>
      </c>
      <c r="K221" s="49" t="str">
        <f>計分版!D221</f>
        <v>/</v>
      </c>
      <c r="L221" s="43">
        <f>入學要求!S231</f>
        <v>0</v>
      </c>
      <c r="M221" s="43"/>
      <c r="N221" s="43"/>
    </row>
    <row r="222" spans="1:14">
      <c r="A222" s="43" t="s">
        <v>722</v>
      </c>
      <c r="B222" s="43" t="s">
        <v>843</v>
      </c>
      <c r="C222" s="43" t="s">
        <v>723</v>
      </c>
      <c r="D222" s="162" t="s">
        <v>215</v>
      </c>
      <c r="E222" s="43" t="s">
        <v>393</v>
      </c>
      <c r="F222" s="43" t="s">
        <v>899</v>
      </c>
      <c r="G222" s="43" t="s">
        <v>899</v>
      </c>
      <c r="H222" s="43">
        <v>33</v>
      </c>
      <c r="K222" s="49" t="str">
        <f>計分版!D222</f>
        <v>/</v>
      </c>
      <c r="L222" s="43">
        <f>入學要求!S232</f>
        <v>0</v>
      </c>
      <c r="M222" s="43"/>
      <c r="N222" s="43"/>
    </row>
    <row r="223" spans="1:14">
      <c r="A223" s="43" t="s">
        <v>725</v>
      </c>
      <c r="B223" s="43" t="s">
        <v>843</v>
      </c>
      <c r="C223" s="43" t="s">
        <v>726</v>
      </c>
      <c r="D223" s="162" t="s">
        <v>215</v>
      </c>
      <c r="E223" s="43" t="s">
        <v>393</v>
      </c>
      <c r="F223" s="43">
        <v>24</v>
      </c>
      <c r="G223" s="43">
        <v>24</v>
      </c>
      <c r="H223" s="43">
        <v>36</v>
      </c>
      <c r="K223" s="49">
        <f>計分版!D223</f>
        <v>2.8499999999999999E-9</v>
      </c>
      <c r="L223" s="43">
        <f>入學要求!S233</f>
        <v>0</v>
      </c>
      <c r="M223" s="43"/>
      <c r="N223" s="43"/>
    </row>
    <row r="224" spans="1:14">
      <c r="A224" s="43" t="s">
        <v>728</v>
      </c>
      <c r="B224" s="43" t="s">
        <v>843</v>
      </c>
      <c r="C224" s="43" t="s">
        <v>729</v>
      </c>
      <c r="D224" s="162" t="s">
        <v>215</v>
      </c>
      <c r="E224" s="43" t="s">
        <v>393</v>
      </c>
      <c r="F224" s="43" t="s">
        <v>899</v>
      </c>
      <c r="G224" s="43" t="s">
        <v>899</v>
      </c>
      <c r="H224" s="43">
        <v>21</v>
      </c>
      <c r="K224" s="49" t="str">
        <f>計分版!D224</f>
        <v>/</v>
      </c>
      <c r="L224" s="43">
        <f>入學要求!S234</f>
        <v>0</v>
      </c>
      <c r="M224" s="43"/>
      <c r="N224" s="43"/>
    </row>
    <row r="225" spans="1:14">
      <c r="A225" s="43" t="s">
        <v>731</v>
      </c>
      <c r="B225" s="43" t="s">
        <v>843</v>
      </c>
      <c r="C225" s="43" t="s">
        <v>732</v>
      </c>
      <c r="D225" s="162" t="s">
        <v>215</v>
      </c>
      <c r="E225" s="43" t="s">
        <v>393</v>
      </c>
      <c r="F225" s="43" t="s">
        <v>899</v>
      </c>
      <c r="G225" s="43" t="s">
        <v>899</v>
      </c>
      <c r="H225" s="43">
        <v>21</v>
      </c>
      <c r="K225" s="49" t="str">
        <f>計分版!D225</f>
        <v>/</v>
      </c>
      <c r="L225" s="43">
        <f>入學要求!S235</f>
        <v>0</v>
      </c>
      <c r="M225" s="43"/>
      <c r="N225" s="43"/>
    </row>
    <row r="226" spans="1:14">
      <c r="A226" s="43" t="s">
        <v>734</v>
      </c>
      <c r="B226" s="43" t="s">
        <v>843</v>
      </c>
      <c r="C226" s="43" t="s">
        <v>735</v>
      </c>
      <c r="D226" s="162" t="s">
        <v>215</v>
      </c>
      <c r="E226" s="43" t="s">
        <v>393</v>
      </c>
      <c r="F226" s="43">
        <v>30</v>
      </c>
      <c r="G226" s="43">
        <v>28</v>
      </c>
      <c r="H226" s="43">
        <v>29</v>
      </c>
      <c r="K226" s="49">
        <f>計分版!D226</f>
        <v>3.05E-9</v>
      </c>
      <c r="L226" s="43">
        <f>入學要求!S236</f>
        <v>0</v>
      </c>
      <c r="M226" s="43"/>
      <c r="N226" s="43"/>
    </row>
    <row r="227" spans="1:14">
      <c r="A227" s="43" t="s">
        <v>737</v>
      </c>
      <c r="B227" s="43" t="s">
        <v>843</v>
      </c>
      <c r="C227" s="43" t="s">
        <v>738</v>
      </c>
      <c r="D227" s="162" t="s">
        <v>215</v>
      </c>
      <c r="E227" s="43" t="s">
        <v>393</v>
      </c>
      <c r="F227" s="43">
        <v>31</v>
      </c>
      <c r="G227" s="43">
        <v>31</v>
      </c>
      <c r="H227" s="43">
        <v>23</v>
      </c>
      <c r="K227" s="49">
        <f>計分版!D227</f>
        <v>3.05E-9</v>
      </c>
      <c r="L227" s="43">
        <f>入學要求!S237</f>
        <v>0</v>
      </c>
      <c r="M227" s="43"/>
      <c r="N227" s="43"/>
    </row>
    <row r="228" spans="1:14">
      <c r="A228" s="43" t="s">
        <v>740</v>
      </c>
      <c r="B228" s="43" t="s">
        <v>843</v>
      </c>
      <c r="C228" s="43" t="s">
        <v>741</v>
      </c>
      <c r="D228" s="162" t="s">
        <v>215</v>
      </c>
      <c r="E228" s="43" t="s">
        <v>393</v>
      </c>
      <c r="F228" s="43">
        <v>29</v>
      </c>
      <c r="G228" s="43">
        <v>29</v>
      </c>
      <c r="H228" s="43">
        <v>28</v>
      </c>
      <c r="K228" s="49">
        <f>計分版!D228</f>
        <v>3.1999999999999997E-9</v>
      </c>
      <c r="L228" s="43">
        <f>入學要求!S238</f>
        <v>0</v>
      </c>
      <c r="M228" s="43"/>
      <c r="N228" s="43"/>
    </row>
    <row r="229" spans="1:14">
      <c r="A229" s="43" t="s">
        <v>743</v>
      </c>
      <c r="B229" s="43" t="s">
        <v>843</v>
      </c>
      <c r="C229" s="43" t="s">
        <v>744</v>
      </c>
      <c r="D229" s="162" t="s">
        <v>215</v>
      </c>
      <c r="E229" s="43" t="s">
        <v>393</v>
      </c>
      <c r="F229" s="43">
        <v>27</v>
      </c>
      <c r="G229" s="43">
        <v>27</v>
      </c>
      <c r="H229" s="43">
        <v>21</v>
      </c>
      <c r="K229" s="49">
        <f>計分版!D229</f>
        <v>3.05E-9</v>
      </c>
      <c r="L229" s="43">
        <f>入學要求!S239</f>
        <v>0</v>
      </c>
      <c r="M229" s="43"/>
      <c r="N229" s="43"/>
    </row>
    <row r="230" spans="1:14">
      <c r="A230" s="43" t="s">
        <v>746</v>
      </c>
      <c r="B230" s="43" t="s">
        <v>843</v>
      </c>
      <c r="C230" s="43" t="s">
        <v>747</v>
      </c>
      <c r="D230" s="162" t="s">
        <v>215</v>
      </c>
      <c r="E230" s="43" t="s">
        <v>393</v>
      </c>
      <c r="F230" s="43">
        <v>38</v>
      </c>
      <c r="G230" s="43">
        <v>37.5</v>
      </c>
      <c r="H230" s="43">
        <v>72</v>
      </c>
      <c r="K230" s="49">
        <f>計分版!D230</f>
        <v>2.6000000000000001E-9</v>
      </c>
      <c r="L230" s="43">
        <f>入學要求!S240</f>
        <v>0</v>
      </c>
      <c r="M230" s="43"/>
      <c r="N230" s="43"/>
    </row>
    <row r="231" spans="1:14">
      <c r="A231" s="43" t="s">
        <v>749</v>
      </c>
      <c r="B231" s="43" t="s">
        <v>843</v>
      </c>
      <c r="C231" s="43" t="s">
        <v>750</v>
      </c>
      <c r="D231" s="162" t="s">
        <v>215</v>
      </c>
      <c r="E231" s="43" t="s">
        <v>393</v>
      </c>
      <c r="F231" s="43">
        <v>29</v>
      </c>
      <c r="G231" s="43">
        <v>28</v>
      </c>
      <c r="H231" s="43">
        <v>60</v>
      </c>
      <c r="K231" s="49">
        <f>計分版!D231</f>
        <v>2.8499999999999999E-9</v>
      </c>
      <c r="L231" s="43">
        <f>入學要求!S241</f>
        <v>0</v>
      </c>
      <c r="M231" s="43"/>
      <c r="N231" s="43"/>
    </row>
    <row r="232" spans="1:14">
      <c r="A232" s="43" t="s">
        <v>751</v>
      </c>
      <c r="B232" s="43" t="s">
        <v>843</v>
      </c>
      <c r="C232" s="43" t="s">
        <v>752</v>
      </c>
      <c r="D232" s="162" t="s">
        <v>215</v>
      </c>
      <c r="E232" s="43" t="s">
        <v>393</v>
      </c>
      <c r="F232" s="43">
        <v>31</v>
      </c>
      <c r="G232" s="43">
        <v>30</v>
      </c>
      <c r="H232" s="43">
        <v>20</v>
      </c>
      <c r="K232" s="49">
        <f>計分版!D232</f>
        <v>3.3500000000000002E-9</v>
      </c>
      <c r="L232" s="43">
        <f>入學要求!S242</f>
        <v>0</v>
      </c>
      <c r="M232" s="43"/>
      <c r="N232" s="43"/>
    </row>
    <row r="233" spans="1:14">
      <c r="A233" s="43" t="s">
        <v>754</v>
      </c>
      <c r="B233" s="43" t="s">
        <v>843</v>
      </c>
      <c r="C233" s="43" t="s">
        <v>755</v>
      </c>
      <c r="D233" s="162" t="s">
        <v>215</v>
      </c>
      <c r="E233" s="43" t="s">
        <v>393</v>
      </c>
      <c r="F233" s="43">
        <v>31</v>
      </c>
      <c r="G233" s="43">
        <v>30</v>
      </c>
      <c r="H233" s="43">
        <v>30</v>
      </c>
      <c r="K233" s="49">
        <f>計分版!D233</f>
        <v>3.3500000000000002E-9</v>
      </c>
      <c r="L233" s="43">
        <f>入學要求!S243</f>
        <v>0</v>
      </c>
      <c r="M233" s="43"/>
      <c r="N233" s="43"/>
    </row>
    <row r="234" spans="1:14">
      <c r="A234" s="43" t="s">
        <v>757</v>
      </c>
      <c r="B234" s="43" t="s">
        <v>843</v>
      </c>
      <c r="C234" s="43" t="s">
        <v>758</v>
      </c>
      <c r="D234" s="162" t="s">
        <v>215</v>
      </c>
      <c r="E234" s="43" t="s">
        <v>393</v>
      </c>
      <c r="F234" s="43">
        <v>30</v>
      </c>
      <c r="G234" s="43">
        <v>29</v>
      </c>
      <c r="H234" s="43">
        <v>20</v>
      </c>
      <c r="K234" s="49">
        <f>計分版!D234</f>
        <v>3.3500000000000002E-9</v>
      </c>
      <c r="L234" s="43">
        <f>入學要求!S244</f>
        <v>0</v>
      </c>
      <c r="M234" s="43"/>
      <c r="N234" s="43"/>
    </row>
    <row r="235" spans="1:14">
      <c r="A235" s="43" t="s">
        <v>760</v>
      </c>
      <c r="B235" s="43" t="s">
        <v>843</v>
      </c>
      <c r="C235" s="43" t="s">
        <v>761</v>
      </c>
      <c r="D235" s="162" t="s">
        <v>844</v>
      </c>
      <c r="E235" s="43" t="s">
        <v>393</v>
      </c>
      <c r="F235" s="43">
        <v>16</v>
      </c>
      <c r="G235" s="43">
        <v>14</v>
      </c>
      <c r="H235" s="43">
        <v>340</v>
      </c>
      <c r="K235" s="49">
        <f>計分版!D235</f>
        <v>3.1500000000000005E-9</v>
      </c>
      <c r="L235" s="43">
        <f>入學要求!S245</f>
        <v>0</v>
      </c>
      <c r="M235" s="43"/>
      <c r="N235" s="43"/>
    </row>
    <row r="236" spans="1:14">
      <c r="A236" s="43" t="s">
        <v>763</v>
      </c>
      <c r="B236" s="43" t="s">
        <v>843</v>
      </c>
      <c r="C236" s="43" t="s">
        <v>764</v>
      </c>
      <c r="D236" s="162" t="s">
        <v>844</v>
      </c>
      <c r="E236" s="43" t="s">
        <v>393</v>
      </c>
      <c r="F236" s="43">
        <v>18</v>
      </c>
      <c r="G236" s="43">
        <v>16</v>
      </c>
      <c r="H236" s="43">
        <v>92</v>
      </c>
      <c r="K236" s="49">
        <f>計分版!D236</f>
        <v>3.1500000000000005E-9</v>
      </c>
      <c r="L236" s="43">
        <f>入學要求!S246</f>
        <v>0</v>
      </c>
      <c r="M236" s="43"/>
      <c r="N236" s="43"/>
    </row>
    <row r="237" spans="1:14">
      <c r="A237" s="43" t="s">
        <v>766</v>
      </c>
      <c r="B237" s="43" t="s">
        <v>843</v>
      </c>
      <c r="C237" s="43" t="s">
        <v>767</v>
      </c>
      <c r="D237" s="162" t="s">
        <v>215</v>
      </c>
      <c r="E237" s="43" t="s">
        <v>393</v>
      </c>
      <c r="F237" s="43">
        <v>31.5</v>
      </c>
      <c r="G237" s="43">
        <v>31</v>
      </c>
      <c r="H237" s="43">
        <v>17</v>
      </c>
      <c r="K237" s="49">
        <f>計分版!D237</f>
        <v>3.2500000000000002E-9</v>
      </c>
      <c r="L237" s="43">
        <f>入學要求!S247</f>
        <v>0</v>
      </c>
      <c r="M237" s="43"/>
      <c r="N237" s="43"/>
    </row>
    <row r="238" spans="1:14">
      <c r="A238" s="43" t="s">
        <v>769</v>
      </c>
      <c r="B238" s="43" t="s">
        <v>843</v>
      </c>
      <c r="C238" s="43" t="s">
        <v>770</v>
      </c>
      <c r="D238" s="162" t="s">
        <v>215</v>
      </c>
      <c r="E238" s="43" t="s">
        <v>393</v>
      </c>
      <c r="F238" s="43">
        <v>39.5</v>
      </c>
      <c r="G238" s="43">
        <v>39</v>
      </c>
      <c r="H238" s="43">
        <v>45</v>
      </c>
      <c r="K238" s="49">
        <f>計分版!D238</f>
        <v>3.3500000000000002E-9</v>
      </c>
      <c r="L238" s="43">
        <f>入學要求!S248</f>
        <v>0</v>
      </c>
      <c r="M238" s="43"/>
      <c r="N238" s="43"/>
    </row>
    <row r="239" spans="1:14">
      <c r="A239" s="43" t="s">
        <v>772</v>
      </c>
      <c r="B239" s="43" t="s">
        <v>843</v>
      </c>
      <c r="C239" s="43" t="s">
        <v>773</v>
      </c>
      <c r="D239" s="162" t="s">
        <v>215</v>
      </c>
      <c r="E239" s="43" t="s">
        <v>393</v>
      </c>
      <c r="F239" s="43">
        <v>35</v>
      </c>
      <c r="G239" s="43">
        <v>34.5</v>
      </c>
      <c r="H239" s="43">
        <v>26</v>
      </c>
      <c r="K239" s="49">
        <f>計分版!D239</f>
        <v>3.3500000000000002E-9</v>
      </c>
      <c r="L239" s="43">
        <f>入學要求!S249</f>
        <v>0</v>
      </c>
      <c r="M239" s="43"/>
      <c r="N239" s="43"/>
    </row>
    <row r="240" spans="1:14">
      <c r="A240" s="43" t="s">
        <v>775</v>
      </c>
      <c r="B240" s="43" t="s">
        <v>843</v>
      </c>
      <c r="C240" s="43" t="s">
        <v>776</v>
      </c>
      <c r="D240" s="162" t="s">
        <v>215</v>
      </c>
      <c r="E240" s="43" t="s">
        <v>393</v>
      </c>
      <c r="F240" s="43">
        <v>32.5</v>
      </c>
      <c r="G240" s="43">
        <v>32</v>
      </c>
      <c r="H240" s="43">
        <v>39</v>
      </c>
      <c r="K240" s="49">
        <f>計分版!D240</f>
        <v>3.0999999999999996E-9</v>
      </c>
      <c r="L240" s="43">
        <f>入學要求!S250</f>
        <v>0</v>
      </c>
      <c r="M240" s="43"/>
      <c r="N240" s="43"/>
    </row>
    <row r="241" spans="1:14">
      <c r="A241" s="43" t="s">
        <v>778</v>
      </c>
      <c r="B241" s="43" t="s">
        <v>843</v>
      </c>
      <c r="C241" s="43" t="s">
        <v>779</v>
      </c>
      <c r="D241" s="162" t="s">
        <v>82</v>
      </c>
      <c r="E241" s="43" t="s">
        <v>393</v>
      </c>
      <c r="F241" s="43">
        <v>23.5</v>
      </c>
      <c r="G241" s="43">
        <v>23.25</v>
      </c>
      <c r="H241" s="43">
        <v>49</v>
      </c>
      <c r="K241" s="49">
        <f>計分版!D241</f>
        <v>3.9500000000000006E-9</v>
      </c>
      <c r="L241" s="43">
        <f>入學要求!S251</f>
        <v>0</v>
      </c>
      <c r="M241" s="43"/>
      <c r="N241" s="43"/>
    </row>
    <row r="242" spans="1:14">
      <c r="A242" s="43" t="s">
        <v>781</v>
      </c>
      <c r="B242" s="43" t="s">
        <v>843</v>
      </c>
      <c r="C242" s="43" t="s">
        <v>782</v>
      </c>
      <c r="D242" s="162" t="s">
        <v>215</v>
      </c>
      <c r="E242" s="43" t="s">
        <v>393</v>
      </c>
      <c r="F242" s="43">
        <v>31</v>
      </c>
      <c r="G242" s="43">
        <v>30.5</v>
      </c>
      <c r="H242" s="43">
        <v>72</v>
      </c>
      <c r="K242" s="49">
        <f>計分版!D242</f>
        <v>3.2500000000000002E-9</v>
      </c>
      <c r="L242" s="43">
        <f>入學要求!S252</f>
        <v>0</v>
      </c>
      <c r="M242" s="43"/>
      <c r="N242" s="43"/>
    </row>
    <row r="243" spans="1:14">
      <c r="A243" s="43" t="s">
        <v>784</v>
      </c>
      <c r="B243" s="43" t="s">
        <v>843</v>
      </c>
      <c r="C243" s="43" t="s">
        <v>785</v>
      </c>
      <c r="D243" s="162" t="s">
        <v>215</v>
      </c>
      <c r="E243" s="43" t="s">
        <v>393</v>
      </c>
      <c r="F243" s="43">
        <v>30</v>
      </c>
      <c r="G243" s="43">
        <v>29</v>
      </c>
      <c r="H243" s="43">
        <v>18</v>
      </c>
      <c r="K243" s="49">
        <f>計分版!D243</f>
        <v>3.05E-9</v>
      </c>
      <c r="L243" s="43">
        <f>入學要求!S253</f>
        <v>0</v>
      </c>
      <c r="M243" s="43"/>
      <c r="N243" s="43"/>
    </row>
    <row r="244" spans="1:14">
      <c r="A244" s="43" t="s">
        <v>787</v>
      </c>
      <c r="B244" s="43" t="s">
        <v>843</v>
      </c>
      <c r="C244" s="43" t="s">
        <v>788</v>
      </c>
      <c r="D244" s="162" t="s">
        <v>215</v>
      </c>
      <c r="E244" s="43" t="s">
        <v>393</v>
      </c>
      <c r="F244" s="43" t="s">
        <v>899</v>
      </c>
      <c r="G244" s="43" t="s">
        <v>899</v>
      </c>
      <c r="H244" s="43">
        <v>24</v>
      </c>
      <c r="K244" s="49" t="str">
        <f>計分版!D244</f>
        <v>/</v>
      </c>
      <c r="L244" s="43">
        <f>入學要求!S254</f>
        <v>0</v>
      </c>
      <c r="M244" s="43"/>
      <c r="N244" s="43"/>
    </row>
    <row r="245" spans="1:14">
      <c r="A245" s="43" t="s">
        <v>790</v>
      </c>
      <c r="B245" s="43" t="s">
        <v>843</v>
      </c>
      <c r="C245" s="43" t="s">
        <v>791</v>
      </c>
      <c r="D245" s="162" t="s">
        <v>215</v>
      </c>
      <c r="E245" s="43" t="s">
        <v>393</v>
      </c>
      <c r="F245" s="43" t="s">
        <v>899</v>
      </c>
      <c r="G245" s="43" t="s">
        <v>899</v>
      </c>
      <c r="H245" s="43">
        <v>17</v>
      </c>
      <c r="K245" s="49" t="str">
        <f>計分版!D245</f>
        <v>/</v>
      </c>
      <c r="L245" s="43">
        <f>入學要求!S255</f>
        <v>0</v>
      </c>
      <c r="M245" s="43"/>
      <c r="N245" s="43"/>
    </row>
    <row r="246" spans="1:14">
      <c r="A246" s="43" t="s">
        <v>793</v>
      </c>
      <c r="B246" s="43" t="s">
        <v>843</v>
      </c>
      <c r="C246" s="43" t="s">
        <v>794</v>
      </c>
      <c r="D246" s="162" t="s">
        <v>215</v>
      </c>
      <c r="E246" s="43" t="s">
        <v>393</v>
      </c>
      <c r="F246" s="43" t="s">
        <v>899</v>
      </c>
      <c r="G246" s="43" t="s">
        <v>899</v>
      </c>
      <c r="H246" s="43">
        <v>42</v>
      </c>
      <c r="K246" s="49" t="str">
        <f>計分版!D246</f>
        <v>/</v>
      </c>
      <c r="L246" s="43">
        <f>入學要求!S256</f>
        <v>0</v>
      </c>
      <c r="M246" s="43"/>
      <c r="N246" s="43"/>
    </row>
    <row r="247" spans="1:14">
      <c r="A247" s="43" t="s">
        <v>796</v>
      </c>
      <c r="B247" s="43" t="s">
        <v>843</v>
      </c>
      <c r="C247" s="43" t="s">
        <v>797</v>
      </c>
      <c r="D247" s="162" t="s">
        <v>215</v>
      </c>
      <c r="E247" s="43" t="s">
        <v>393</v>
      </c>
      <c r="F247" s="43">
        <v>33</v>
      </c>
      <c r="G247" s="43">
        <v>32</v>
      </c>
      <c r="H247" s="43">
        <v>50</v>
      </c>
      <c r="K247" s="49">
        <f>計分版!D247</f>
        <v>3.1999999999999997E-9</v>
      </c>
      <c r="L247" s="43">
        <f>入學要求!S257</f>
        <v>0</v>
      </c>
      <c r="M247" s="43"/>
      <c r="N247" s="43"/>
    </row>
    <row r="248" spans="1:14">
      <c r="A248" s="43" t="s">
        <v>799</v>
      </c>
      <c r="B248" s="43" t="s">
        <v>843</v>
      </c>
      <c r="C248" s="43" t="s">
        <v>800</v>
      </c>
      <c r="D248" s="162" t="s">
        <v>215</v>
      </c>
      <c r="E248" s="43" t="s">
        <v>393</v>
      </c>
      <c r="F248" s="43">
        <v>27</v>
      </c>
      <c r="G248" s="43">
        <v>27</v>
      </c>
      <c r="H248" s="43">
        <v>103</v>
      </c>
      <c r="K248" s="49">
        <f>計分版!D248</f>
        <v>3.05E-9</v>
      </c>
      <c r="L248" s="43">
        <f>入學要求!S258</f>
        <v>0</v>
      </c>
      <c r="M248" s="43"/>
      <c r="N248" s="43"/>
    </row>
    <row r="249" spans="1:14">
      <c r="A249" s="43" t="s">
        <v>802</v>
      </c>
      <c r="B249" s="43" t="s">
        <v>843</v>
      </c>
      <c r="C249" s="43" t="s">
        <v>803</v>
      </c>
      <c r="D249" s="162" t="s">
        <v>215</v>
      </c>
      <c r="E249" s="43" t="s">
        <v>393</v>
      </c>
      <c r="F249" s="43">
        <v>36</v>
      </c>
      <c r="G249" s="43">
        <v>35</v>
      </c>
      <c r="H249" s="43">
        <v>163</v>
      </c>
      <c r="K249" s="49">
        <f>計分版!D249</f>
        <v>3.4500000000000003E-9</v>
      </c>
      <c r="L249" s="43">
        <f>入學要求!S259</f>
        <v>0</v>
      </c>
      <c r="M249" s="43"/>
      <c r="N249" s="43"/>
    </row>
    <row r="250" spans="1:14">
      <c r="A250" s="43" t="s">
        <v>805</v>
      </c>
      <c r="B250" s="43" t="s">
        <v>843</v>
      </c>
      <c r="C250" s="43" t="s">
        <v>806</v>
      </c>
      <c r="D250" s="162" t="s">
        <v>215</v>
      </c>
      <c r="E250" s="43" t="s">
        <v>393</v>
      </c>
      <c r="F250" s="43">
        <v>37</v>
      </c>
      <c r="G250" s="43">
        <v>35.5</v>
      </c>
      <c r="H250" s="43">
        <v>40</v>
      </c>
      <c r="K250" s="49">
        <f>計分版!D250</f>
        <v>3.6E-9</v>
      </c>
      <c r="L250" s="43">
        <f>入學要求!S260</f>
        <v>0</v>
      </c>
      <c r="M250" s="43"/>
      <c r="N250" s="43"/>
    </row>
    <row r="251" spans="1:14">
      <c r="A251" s="43" t="s">
        <v>808</v>
      </c>
      <c r="B251" s="43" t="s">
        <v>843</v>
      </c>
      <c r="C251" s="43" t="s">
        <v>809</v>
      </c>
      <c r="D251" s="162" t="s">
        <v>215</v>
      </c>
      <c r="E251" s="43" t="s">
        <v>393</v>
      </c>
      <c r="F251" s="43">
        <v>33</v>
      </c>
      <c r="G251" s="43">
        <v>31</v>
      </c>
      <c r="H251" s="43">
        <v>90</v>
      </c>
      <c r="K251" s="49">
        <f>計分版!D251</f>
        <v>3.3500000000000002E-9</v>
      </c>
      <c r="L251" s="43">
        <f>入學要求!S261</f>
        <v>0</v>
      </c>
      <c r="M251" s="43"/>
      <c r="N251" s="43"/>
    </row>
    <row r="252" spans="1:14">
      <c r="A252" s="43" t="s">
        <v>811</v>
      </c>
      <c r="B252" s="43" t="s">
        <v>843</v>
      </c>
      <c r="C252" s="43" t="s">
        <v>812</v>
      </c>
      <c r="D252" s="162" t="s">
        <v>215</v>
      </c>
      <c r="E252" s="43" t="s">
        <v>393</v>
      </c>
      <c r="F252" s="43">
        <v>30</v>
      </c>
      <c r="G252" s="43">
        <v>29</v>
      </c>
      <c r="H252" s="43">
        <v>36</v>
      </c>
      <c r="K252" s="49">
        <f>計分版!D252</f>
        <v>3.1249999999999999E-9</v>
      </c>
      <c r="L252" s="43">
        <f>入學要求!S262</f>
        <v>0</v>
      </c>
      <c r="M252" s="43"/>
      <c r="N252" s="43"/>
    </row>
    <row r="253" spans="1:14">
      <c r="A253" s="43" t="s">
        <v>814</v>
      </c>
      <c r="B253" s="43" t="s">
        <v>843</v>
      </c>
      <c r="C253" s="43" t="s">
        <v>815</v>
      </c>
      <c r="D253" s="162" t="s">
        <v>215</v>
      </c>
      <c r="E253" s="43" t="s">
        <v>393</v>
      </c>
      <c r="F253" s="43">
        <v>30</v>
      </c>
      <c r="G253" s="43">
        <v>29.5</v>
      </c>
      <c r="H253" s="43">
        <v>38</v>
      </c>
      <c r="K253" s="49">
        <f>計分版!D253</f>
        <v>3.05E-9</v>
      </c>
      <c r="L253" s="43">
        <f>入學要求!S263</f>
        <v>0</v>
      </c>
      <c r="M253" s="43"/>
      <c r="N253" s="43"/>
    </row>
    <row r="254" spans="1:14">
      <c r="A254" s="43" t="s">
        <v>817</v>
      </c>
      <c r="B254" s="43" t="s">
        <v>843</v>
      </c>
      <c r="C254" s="43" t="s">
        <v>818</v>
      </c>
      <c r="D254" s="162" t="s">
        <v>215</v>
      </c>
      <c r="E254" s="43" t="s">
        <v>393</v>
      </c>
      <c r="F254" s="43">
        <v>37</v>
      </c>
      <c r="G254" s="43">
        <v>36</v>
      </c>
      <c r="H254" s="43">
        <v>50</v>
      </c>
      <c r="K254" s="49">
        <f>計分版!D254</f>
        <v>3.3500000000000002E-9</v>
      </c>
      <c r="L254" s="43">
        <f>入學要求!S264</f>
        <v>0</v>
      </c>
      <c r="M254" s="43"/>
      <c r="N254" s="43"/>
    </row>
    <row r="255" spans="1:14">
      <c r="A255" s="43" t="s">
        <v>820</v>
      </c>
      <c r="B255" s="43" t="s">
        <v>843</v>
      </c>
      <c r="C255" s="43" t="s">
        <v>821</v>
      </c>
      <c r="D255" s="162" t="s">
        <v>215</v>
      </c>
      <c r="E255" s="43" t="s">
        <v>393</v>
      </c>
      <c r="F255" s="43">
        <v>28</v>
      </c>
      <c r="G255" s="43">
        <v>28</v>
      </c>
      <c r="H255" s="43">
        <v>13</v>
      </c>
      <c r="K255" s="49">
        <f>計分版!D255</f>
        <v>3.1999999999999997E-9</v>
      </c>
      <c r="L255" s="43">
        <f>入學要求!S265</f>
        <v>0</v>
      </c>
      <c r="M255" s="43"/>
      <c r="N255" s="43"/>
    </row>
    <row r="256" spans="1:14">
      <c r="A256" s="43" t="s">
        <v>823</v>
      </c>
      <c r="B256" s="43" t="s">
        <v>843</v>
      </c>
      <c r="C256" s="43" t="s">
        <v>824</v>
      </c>
      <c r="D256" s="162" t="s">
        <v>215</v>
      </c>
      <c r="E256" s="43" t="s">
        <v>393</v>
      </c>
      <c r="F256" s="43" t="s">
        <v>899</v>
      </c>
      <c r="G256" s="43" t="s">
        <v>899</v>
      </c>
      <c r="H256" s="43">
        <v>25</v>
      </c>
      <c r="K256" s="49" t="str">
        <f>計分版!D256</f>
        <v>/</v>
      </c>
      <c r="L256" s="43">
        <f>入學要求!S266</f>
        <v>0</v>
      </c>
      <c r="M256" s="43"/>
      <c r="N256" s="43"/>
    </row>
    <row r="257" spans="1:17">
      <c r="A257" s="43" t="s">
        <v>826</v>
      </c>
      <c r="B257" s="43" t="s">
        <v>843</v>
      </c>
      <c r="C257" s="43" t="s">
        <v>827</v>
      </c>
      <c r="D257" s="162" t="s">
        <v>215</v>
      </c>
      <c r="E257" s="43" t="s">
        <v>393</v>
      </c>
      <c r="F257" s="43" t="s">
        <v>899</v>
      </c>
      <c r="G257" s="43" t="s">
        <v>899</v>
      </c>
      <c r="H257" s="43">
        <v>46</v>
      </c>
      <c r="K257" s="49" t="str">
        <f>計分版!D257</f>
        <v>/</v>
      </c>
      <c r="L257" s="43">
        <f>入學要求!S267</f>
        <v>0</v>
      </c>
      <c r="M257" s="43"/>
      <c r="N257" s="43"/>
    </row>
    <row r="258" spans="1:17">
      <c r="A258" s="43" t="s">
        <v>829</v>
      </c>
      <c r="B258" s="43" t="s">
        <v>843</v>
      </c>
      <c r="C258" s="43" t="s">
        <v>234</v>
      </c>
      <c r="D258" s="162" t="s">
        <v>215</v>
      </c>
      <c r="E258" s="43" t="s">
        <v>393</v>
      </c>
      <c r="F258" s="43" t="s">
        <v>899</v>
      </c>
      <c r="G258" s="43" t="s">
        <v>899</v>
      </c>
      <c r="H258" s="43">
        <v>28</v>
      </c>
      <c r="K258" s="49" t="str">
        <f>計分版!D258</f>
        <v>/</v>
      </c>
      <c r="L258" s="43">
        <f>入學要求!S268</f>
        <v>0</v>
      </c>
      <c r="M258" s="43"/>
      <c r="N258" s="43"/>
    </row>
    <row r="259" spans="1:17">
      <c r="A259" s="43" t="s">
        <v>831</v>
      </c>
      <c r="B259" s="43" t="s">
        <v>843</v>
      </c>
      <c r="C259" s="43" t="s">
        <v>832</v>
      </c>
      <c r="D259" s="162" t="s">
        <v>215</v>
      </c>
      <c r="E259" s="43" t="s">
        <v>393</v>
      </c>
      <c r="F259" s="43">
        <v>34</v>
      </c>
      <c r="G259" s="43">
        <v>33</v>
      </c>
      <c r="H259" s="43">
        <v>30</v>
      </c>
      <c r="K259" s="49">
        <f>計分版!D259</f>
        <v>2.8499999999999999E-9</v>
      </c>
      <c r="L259" s="43">
        <f>入學要求!S269</f>
        <v>0</v>
      </c>
      <c r="M259" s="43"/>
      <c r="N259" s="43"/>
    </row>
    <row r="260" spans="1:17">
      <c r="A260" s="43" t="s">
        <v>834</v>
      </c>
      <c r="B260" s="43" t="s">
        <v>843</v>
      </c>
      <c r="C260" s="43" t="s">
        <v>835</v>
      </c>
      <c r="D260" s="162" t="s">
        <v>215</v>
      </c>
      <c r="E260" s="43" t="s">
        <v>393</v>
      </c>
      <c r="F260" s="43">
        <v>38.5</v>
      </c>
      <c r="G260" s="43">
        <v>38</v>
      </c>
      <c r="H260" s="43">
        <v>25</v>
      </c>
      <c r="K260" s="49">
        <f>計分版!D260</f>
        <v>3.1999999999999997E-9</v>
      </c>
      <c r="L260" s="43">
        <f>入學要求!S270</f>
        <v>0</v>
      </c>
      <c r="M260" s="43"/>
      <c r="N260" s="43"/>
    </row>
    <row r="261" spans="1:17">
      <c r="A261" s="43" t="s">
        <v>837</v>
      </c>
      <c r="B261" s="43" t="s">
        <v>843</v>
      </c>
      <c r="C261" s="43" t="s">
        <v>838</v>
      </c>
      <c r="D261" s="162" t="s">
        <v>215</v>
      </c>
      <c r="E261" s="43" t="s">
        <v>393</v>
      </c>
      <c r="F261" s="43" t="s">
        <v>899</v>
      </c>
      <c r="G261" s="43" t="s">
        <v>899</v>
      </c>
      <c r="H261" s="43">
        <v>30</v>
      </c>
      <c r="K261" s="49" t="str">
        <f>計分版!D261</f>
        <v>/</v>
      </c>
      <c r="L261" s="43">
        <f>入學要求!S271</f>
        <v>0</v>
      </c>
      <c r="M261" s="43"/>
      <c r="N261" s="43"/>
      <c r="Q261" s="40"/>
    </row>
    <row r="262" spans="1:17">
      <c r="A262" s="43" t="s">
        <v>840</v>
      </c>
      <c r="B262" s="43" t="s">
        <v>843</v>
      </c>
      <c r="C262" s="43" t="s">
        <v>841</v>
      </c>
      <c r="D262" s="162" t="s">
        <v>215</v>
      </c>
      <c r="E262" s="43" t="s">
        <v>393</v>
      </c>
      <c r="F262" s="43" t="s">
        <v>899</v>
      </c>
      <c r="G262" s="43" t="s">
        <v>899</v>
      </c>
      <c r="H262" s="43">
        <v>30</v>
      </c>
      <c r="K262" s="49" t="str">
        <f>計分版!D262</f>
        <v>/</v>
      </c>
      <c r="L262" s="43">
        <f>入學要求!S272</f>
        <v>0</v>
      </c>
      <c r="M262" s="43"/>
      <c r="N262" s="43"/>
      <c r="Q262" s="40"/>
    </row>
    <row r="263" spans="1:17">
      <c r="K263" s="49"/>
      <c r="Q263" s="40"/>
    </row>
    <row r="264" spans="1:17">
      <c r="E264" s="43" t="s">
        <v>403</v>
      </c>
      <c r="F264" s="43" t="s">
        <v>867</v>
      </c>
      <c r="G264" s="43" t="s">
        <v>1157</v>
      </c>
      <c r="K264" s="49" t="str">
        <f>計分版!D264</f>
        <v>總分</v>
      </c>
      <c r="M264" s="43"/>
      <c r="N264" s="43"/>
    </row>
    <row r="265" spans="1:17">
      <c r="A265" s="43" t="s">
        <v>1194</v>
      </c>
      <c r="B265" s="43" t="s">
        <v>1159</v>
      </c>
      <c r="C265" s="43" t="s">
        <v>916</v>
      </c>
      <c r="D265" s="162" t="s">
        <v>214</v>
      </c>
      <c r="E265" s="43" t="s">
        <v>393</v>
      </c>
      <c r="F265" s="43">
        <v>21</v>
      </c>
      <c r="G265" s="43" t="s">
        <v>393</v>
      </c>
      <c r="H265" s="43">
        <v>82</v>
      </c>
      <c r="K265" s="49">
        <f>計分版!D265</f>
        <v>3.9500000000000006E-9</v>
      </c>
      <c r="L265" s="43">
        <f>入學要求!S197</f>
        <v>0</v>
      </c>
      <c r="M265" s="43"/>
      <c r="N265" s="43"/>
    </row>
    <row r="266" spans="1:17">
      <c r="A266" s="43" t="s">
        <v>1195</v>
      </c>
      <c r="B266" s="43" t="s">
        <v>1159</v>
      </c>
      <c r="C266" s="43" t="s">
        <v>918</v>
      </c>
      <c r="D266" s="162" t="s">
        <v>214</v>
      </c>
      <c r="E266" s="43" t="s">
        <v>393</v>
      </c>
      <c r="F266" s="43">
        <v>20</v>
      </c>
      <c r="G266" s="43" t="s">
        <v>393</v>
      </c>
      <c r="H266" s="43">
        <v>20</v>
      </c>
      <c r="K266" s="49">
        <f>計分版!D266</f>
        <v>3.9500000000000006E-9</v>
      </c>
      <c r="L266" s="43">
        <f>入學要求!S198</f>
        <v>0</v>
      </c>
      <c r="M266" s="43"/>
      <c r="N266" s="43"/>
    </row>
    <row r="267" spans="1:17">
      <c r="A267" s="43" t="s">
        <v>1196</v>
      </c>
      <c r="B267" s="43" t="s">
        <v>1159</v>
      </c>
      <c r="C267" s="43" t="s">
        <v>920</v>
      </c>
      <c r="D267" s="162" t="s">
        <v>214</v>
      </c>
      <c r="E267" s="43" t="s">
        <v>393</v>
      </c>
      <c r="F267" s="43">
        <v>20</v>
      </c>
      <c r="G267" s="43" t="s">
        <v>393</v>
      </c>
      <c r="H267" s="43">
        <v>45</v>
      </c>
      <c r="K267" s="49">
        <f>計分版!D267</f>
        <v>3.9500000000000006E-9</v>
      </c>
      <c r="L267" s="43">
        <f>入學要求!S199</f>
        <v>0</v>
      </c>
      <c r="M267" s="43"/>
      <c r="N267" s="43"/>
    </row>
    <row r="268" spans="1:17">
      <c r="A268" s="43" t="s">
        <v>1197</v>
      </c>
      <c r="B268" s="43" t="s">
        <v>1159</v>
      </c>
      <c r="C268" s="43" t="s">
        <v>922</v>
      </c>
      <c r="D268" s="162" t="s">
        <v>214</v>
      </c>
      <c r="E268" s="43" t="s">
        <v>393</v>
      </c>
      <c r="F268" s="43">
        <v>21</v>
      </c>
      <c r="G268" s="43" t="s">
        <v>393</v>
      </c>
      <c r="H268" s="43">
        <v>70</v>
      </c>
      <c r="K268" s="49">
        <f>計分版!D268</f>
        <v>3.9500000000000006E-9</v>
      </c>
      <c r="L268" s="43">
        <f>入學要求!S200</f>
        <v>0</v>
      </c>
      <c r="M268" s="43"/>
      <c r="N268" s="43"/>
    </row>
    <row r="269" spans="1:17">
      <c r="A269" s="43" t="s">
        <v>1198</v>
      </c>
      <c r="B269" s="43" t="s">
        <v>1159</v>
      </c>
      <c r="C269" s="43" t="s">
        <v>924</v>
      </c>
      <c r="D269" s="162" t="s">
        <v>214</v>
      </c>
      <c r="E269" s="43" t="s">
        <v>393</v>
      </c>
      <c r="F269" s="43">
        <v>21</v>
      </c>
      <c r="G269" s="43" t="s">
        <v>393</v>
      </c>
      <c r="H269" s="43">
        <v>31</v>
      </c>
      <c r="K269" s="49">
        <f>計分版!D269</f>
        <v>3.9500000000000006E-9</v>
      </c>
      <c r="L269" s="43">
        <f>入學要求!S201</f>
        <v>0</v>
      </c>
      <c r="M269" s="43"/>
      <c r="N269" s="43"/>
    </row>
    <row r="270" spans="1:17">
      <c r="A270" s="43" t="s">
        <v>1199</v>
      </c>
      <c r="B270" s="43" t="s">
        <v>1159</v>
      </c>
      <c r="C270" s="43" t="s">
        <v>926</v>
      </c>
      <c r="D270" s="162" t="s">
        <v>214</v>
      </c>
      <c r="E270" s="43" t="s">
        <v>393</v>
      </c>
      <c r="F270" s="43">
        <v>19</v>
      </c>
      <c r="G270" s="43" t="s">
        <v>393</v>
      </c>
      <c r="H270" s="43">
        <v>20</v>
      </c>
      <c r="K270" s="49">
        <f>計分版!D270</f>
        <v>3.9500000000000006E-9</v>
      </c>
      <c r="L270" s="43">
        <f>入學要求!S202</f>
        <v>0</v>
      </c>
      <c r="M270" s="43"/>
      <c r="N270" s="43"/>
    </row>
    <row r="271" spans="1:17">
      <c r="A271" s="43" t="s">
        <v>1200</v>
      </c>
      <c r="B271" s="43" t="s">
        <v>1159</v>
      </c>
      <c r="C271" s="43" t="s">
        <v>928</v>
      </c>
      <c r="D271" s="162" t="s">
        <v>214</v>
      </c>
      <c r="E271" s="43" t="s">
        <v>393</v>
      </c>
      <c r="F271" s="43">
        <v>20</v>
      </c>
      <c r="G271" s="43" t="s">
        <v>393</v>
      </c>
      <c r="H271" s="43">
        <v>20</v>
      </c>
      <c r="K271" s="49">
        <f>計分版!D271</f>
        <v>3.9500000000000006E-9</v>
      </c>
      <c r="L271" s="43">
        <f>入學要求!S203</f>
        <v>0</v>
      </c>
      <c r="M271" s="43"/>
      <c r="N271" s="43"/>
    </row>
    <row r="272" spans="1:17">
      <c r="A272" s="43" t="s">
        <v>929</v>
      </c>
      <c r="B272" s="43" t="s">
        <v>1159</v>
      </c>
      <c r="C272" s="43" t="s">
        <v>930</v>
      </c>
      <c r="D272" s="162" t="s">
        <v>214</v>
      </c>
      <c r="E272" s="43" t="s">
        <v>393</v>
      </c>
      <c r="F272" s="43" t="s">
        <v>899</v>
      </c>
      <c r="G272" s="43" t="s">
        <v>393</v>
      </c>
      <c r="H272" s="43">
        <v>10</v>
      </c>
      <c r="K272" s="49">
        <f>計分版!D272</f>
        <v>3.9500000000000006E-9</v>
      </c>
      <c r="L272" s="43">
        <f>入學要求!S204</f>
        <v>0</v>
      </c>
      <c r="M272" s="43"/>
      <c r="N272" s="43"/>
    </row>
    <row r="273" spans="1:14">
      <c r="A273" s="43" t="s">
        <v>1201</v>
      </c>
      <c r="B273" s="43" t="s">
        <v>1159</v>
      </c>
      <c r="C273" s="43" t="s">
        <v>932</v>
      </c>
      <c r="D273" s="162" t="s">
        <v>214</v>
      </c>
      <c r="E273" s="43" t="s">
        <v>393</v>
      </c>
      <c r="F273" s="43">
        <v>22</v>
      </c>
      <c r="G273" s="43" t="s">
        <v>393</v>
      </c>
      <c r="H273" s="43">
        <v>18</v>
      </c>
      <c r="K273" s="49">
        <f>計分版!D273</f>
        <v>3.9500000000000006E-9</v>
      </c>
      <c r="L273" s="43">
        <f>入學要求!S205</f>
        <v>0</v>
      </c>
      <c r="M273" s="43"/>
      <c r="N273" s="43"/>
    </row>
    <row r="274" spans="1:14">
      <c r="A274" s="43" t="s">
        <v>1202</v>
      </c>
      <c r="B274" s="43" t="s">
        <v>1159</v>
      </c>
      <c r="C274" s="43" t="s">
        <v>934</v>
      </c>
      <c r="D274" s="162" t="s">
        <v>214</v>
      </c>
      <c r="E274" s="43" t="s">
        <v>393</v>
      </c>
      <c r="F274" s="43">
        <v>21</v>
      </c>
      <c r="G274" s="43" t="s">
        <v>393</v>
      </c>
      <c r="H274" s="43">
        <v>49</v>
      </c>
      <c r="K274" s="49">
        <f>計分版!D274</f>
        <v>3.9500000000000006E-9</v>
      </c>
      <c r="L274" s="43">
        <f>入學要求!S206</f>
        <v>0</v>
      </c>
      <c r="M274" s="43"/>
      <c r="N274" s="43"/>
    </row>
    <row r="275" spans="1:14">
      <c r="A275" s="43" t="s">
        <v>1203</v>
      </c>
      <c r="B275" s="43" t="s">
        <v>1159</v>
      </c>
      <c r="C275" s="43" t="s">
        <v>936</v>
      </c>
      <c r="D275" s="162" t="s">
        <v>214</v>
      </c>
      <c r="E275" s="43" t="s">
        <v>393</v>
      </c>
      <c r="F275" s="43">
        <v>21</v>
      </c>
      <c r="G275" s="43" t="s">
        <v>393</v>
      </c>
      <c r="H275" s="43">
        <v>10</v>
      </c>
      <c r="K275" s="49">
        <f>計分版!D275</f>
        <v>3.9500000000000006E-9</v>
      </c>
      <c r="L275" s="43">
        <f>入學要求!S207</f>
        <v>0</v>
      </c>
      <c r="M275" s="43"/>
      <c r="N275" s="43"/>
    </row>
    <row r="276" spans="1:14">
      <c r="A276" s="43" t="s">
        <v>1204</v>
      </c>
      <c r="B276" s="43" t="s">
        <v>1159</v>
      </c>
      <c r="C276" s="43" t="s">
        <v>938</v>
      </c>
      <c r="D276" s="162" t="s">
        <v>214</v>
      </c>
      <c r="E276" s="43" t="s">
        <v>393</v>
      </c>
      <c r="F276" s="43">
        <v>20</v>
      </c>
      <c r="G276" s="43" t="s">
        <v>393</v>
      </c>
      <c r="H276" s="43">
        <v>14</v>
      </c>
      <c r="K276" s="49">
        <f>計分版!D276</f>
        <v>3.9500000000000006E-9</v>
      </c>
      <c r="L276" s="43">
        <f>入學要求!S208</f>
        <v>0</v>
      </c>
      <c r="M276" s="43"/>
      <c r="N276" s="43"/>
    </row>
    <row r="277" spans="1:14">
      <c r="A277" s="43" t="s">
        <v>1205</v>
      </c>
      <c r="B277" s="43" t="s">
        <v>1159</v>
      </c>
      <c r="C277" s="43" t="s">
        <v>940</v>
      </c>
      <c r="D277" s="162" t="s">
        <v>214</v>
      </c>
      <c r="E277" s="43" t="s">
        <v>393</v>
      </c>
      <c r="F277" s="43">
        <v>20</v>
      </c>
      <c r="G277" s="43" t="s">
        <v>393</v>
      </c>
      <c r="H277" s="43">
        <v>16</v>
      </c>
      <c r="K277" s="49">
        <f>計分版!D277</f>
        <v>3.9500000000000006E-9</v>
      </c>
      <c r="L277" s="43">
        <f>入學要求!S209</f>
        <v>0</v>
      </c>
      <c r="M277" s="43"/>
      <c r="N277" s="43"/>
    </row>
    <row r="278" spans="1:14">
      <c r="A278" s="43" t="s">
        <v>1206</v>
      </c>
      <c r="B278" s="43" t="s">
        <v>1159</v>
      </c>
      <c r="C278" s="43" t="s">
        <v>942</v>
      </c>
      <c r="D278" s="162" t="s">
        <v>214</v>
      </c>
      <c r="E278" s="43" t="s">
        <v>393</v>
      </c>
      <c r="F278" s="43">
        <v>20</v>
      </c>
      <c r="G278" s="43" t="s">
        <v>393</v>
      </c>
      <c r="H278" s="43">
        <v>16</v>
      </c>
      <c r="K278" s="49">
        <f>計分版!D278</f>
        <v>3.9500000000000006E-9</v>
      </c>
      <c r="L278" s="43">
        <f>入學要求!S210</f>
        <v>0</v>
      </c>
      <c r="M278" s="43"/>
      <c r="N278" s="43"/>
    </row>
    <row r="279" spans="1:14">
      <c r="A279" s="43" t="s">
        <v>1207</v>
      </c>
      <c r="B279" s="43" t="s">
        <v>1159</v>
      </c>
      <c r="C279" s="43" t="s">
        <v>944</v>
      </c>
      <c r="D279" s="162" t="s">
        <v>214</v>
      </c>
      <c r="E279" s="43" t="s">
        <v>393</v>
      </c>
      <c r="F279" s="43">
        <v>20</v>
      </c>
      <c r="G279" s="43" t="s">
        <v>393</v>
      </c>
      <c r="H279" s="43">
        <v>24</v>
      </c>
      <c r="K279" s="49">
        <f>計分版!D279</f>
        <v>3.9500000000000006E-9</v>
      </c>
      <c r="L279" s="43">
        <f>入學要求!S211</f>
        <v>0</v>
      </c>
      <c r="M279" s="43"/>
      <c r="N279" s="43"/>
    </row>
    <row r="280" spans="1:14">
      <c r="A280" s="43" t="s">
        <v>1208</v>
      </c>
      <c r="B280" s="43" t="s">
        <v>1159</v>
      </c>
      <c r="C280" s="43" t="s">
        <v>946</v>
      </c>
      <c r="D280" s="162" t="s">
        <v>214</v>
      </c>
      <c r="E280" s="43" t="s">
        <v>393</v>
      </c>
      <c r="F280" s="43">
        <v>20</v>
      </c>
      <c r="G280" s="43" t="s">
        <v>393</v>
      </c>
      <c r="H280" s="43">
        <v>12</v>
      </c>
      <c r="K280" s="49">
        <f>計分版!D280</f>
        <v>3.9500000000000006E-9</v>
      </c>
      <c r="L280" s="43">
        <f>入學要求!S212</f>
        <v>0</v>
      </c>
      <c r="M280" s="43"/>
      <c r="N280" s="43"/>
    </row>
    <row r="281" spans="1:14">
      <c r="A281" s="43" t="s">
        <v>1209</v>
      </c>
      <c r="B281" s="43" t="s">
        <v>1159</v>
      </c>
      <c r="C281" s="43" t="s">
        <v>948</v>
      </c>
      <c r="D281" s="162" t="s">
        <v>214</v>
      </c>
      <c r="E281" s="43" t="s">
        <v>393</v>
      </c>
      <c r="F281" s="43">
        <v>19</v>
      </c>
      <c r="G281" s="43" t="s">
        <v>393</v>
      </c>
      <c r="H281" s="43">
        <v>12</v>
      </c>
      <c r="K281" s="49">
        <f>計分版!D281</f>
        <v>3.9500000000000006E-9</v>
      </c>
      <c r="L281" s="43">
        <f>入學要求!S213</f>
        <v>0</v>
      </c>
      <c r="M281" s="43"/>
      <c r="N281" s="43"/>
    </row>
    <row r="282" spans="1:14">
      <c r="A282" s="43" t="s">
        <v>1210</v>
      </c>
      <c r="B282" s="43" t="s">
        <v>1159</v>
      </c>
      <c r="C282" s="43" t="s">
        <v>950</v>
      </c>
      <c r="D282" s="162" t="s">
        <v>214</v>
      </c>
      <c r="E282" s="43" t="s">
        <v>393</v>
      </c>
      <c r="F282" s="43">
        <v>21</v>
      </c>
      <c r="G282" s="43" t="s">
        <v>393</v>
      </c>
      <c r="H282" s="43">
        <v>20</v>
      </c>
      <c r="K282" s="49">
        <f>計分版!D282</f>
        <v>3.9500000000000006E-9</v>
      </c>
      <c r="L282" s="43">
        <f>入學要求!S214</f>
        <v>0</v>
      </c>
      <c r="M282" s="43"/>
      <c r="N282" s="43"/>
    </row>
    <row r="283" spans="1:14">
      <c r="A283" s="43" t="s">
        <v>1211</v>
      </c>
      <c r="B283" s="43" t="s">
        <v>1159</v>
      </c>
      <c r="C283" s="43" t="s">
        <v>952</v>
      </c>
      <c r="D283" s="162" t="s">
        <v>214</v>
      </c>
      <c r="E283" s="43" t="s">
        <v>393</v>
      </c>
      <c r="F283" s="43">
        <v>20</v>
      </c>
      <c r="G283" s="43" t="s">
        <v>393</v>
      </c>
      <c r="H283" s="43">
        <v>20</v>
      </c>
      <c r="K283" s="49">
        <f>計分版!D283</f>
        <v>3.9500000000000006E-9</v>
      </c>
      <c r="L283" s="43">
        <f>入學要求!S215</f>
        <v>0</v>
      </c>
      <c r="M283" s="43"/>
      <c r="N283" s="43"/>
    </row>
    <row r="284" spans="1:14">
      <c r="A284" s="43" t="s">
        <v>1212</v>
      </c>
      <c r="B284" s="43" t="s">
        <v>1159</v>
      </c>
      <c r="C284" s="43" t="s">
        <v>954</v>
      </c>
      <c r="D284" s="162" t="s">
        <v>214</v>
      </c>
      <c r="E284" s="43" t="s">
        <v>393</v>
      </c>
      <c r="F284" s="43">
        <v>21</v>
      </c>
      <c r="G284" s="43" t="s">
        <v>393</v>
      </c>
      <c r="H284" s="43">
        <v>40</v>
      </c>
      <c r="K284" s="49">
        <f>計分版!D284</f>
        <v>3.9500000000000006E-9</v>
      </c>
      <c r="L284" s="43">
        <f>入學要求!S216</f>
        <v>0</v>
      </c>
      <c r="M284" s="43"/>
      <c r="N284" s="43"/>
    </row>
    <row r="285" spans="1:14">
      <c r="A285" s="43" t="s">
        <v>1213</v>
      </c>
      <c r="B285" s="43" t="s">
        <v>1159</v>
      </c>
      <c r="C285" s="43" t="s">
        <v>956</v>
      </c>
      <c r="D285" s="162" t="s">
        <v>214</v>
      </c>
      <c r="E285" s="43" t="s">
        <v>393</v>
      </c>
      <c r="F285" s="43">
        <v>20</v>
      </c>
      <c r="G285" s="43" t="s">
        <v>393</v>
      </c>
      <c r="H285" s="43">
        <v>40</v>
      </c>
      <c r="K285" s="49">
        <f>計分版!D285</f>
        <v>3.9500000000000006E-9</v>
      </c>
      <c r="L285" s="43">
        <f>入學要求!S217</f>
        <v>0</v>
      </c>
      <c r="M285" s="43"/>
      <c r="N285" s="43"/>
    </row>
    <row r="286" spans="1:14">
      <c r="A286" s="43" t="s">
        <v>1214</v>
      </c>
      <c r="B286" s="43" t="s">
        <v>1159</v>
      </c>
      <c r="C286" s="43" t="s">
        <v>958</v>
      </c>
      <c r="D286" s="162" t="s">
        <v>214</v>
      </c>
      <c r="E286" s="43" t="s">
        <v>393</v>
      </c>
      <c r="F286" s="43">
        <v>21</v>
      </c>
      <c r="G286" s="43" t="s">
        <v>393</v>
      </c>
      <c r="H286" s="43">
        <v>20</v>
      </c>
      <c r="K286" s="49">
        <f>計分版!D286</f>
        <v>3.9500000000000006E-9</v>
      </c>
      <c r="L286" s="43">
        <f>入學要求!S218</f>
        <v>0</v>
      </c>
      <c r="M286" s="43"/>
      <c r="N286" s="43"/>
    </row>
    <row r="287" spans="1:14">
      <c r="A287" s="43" t="s">
        <v>1215</v>
      </c>
      <c r="B287" s="43" t="s">
        <v>1159</v>
      </c>
      <c r="C287" s="43" t="s">
        <v>960</v>
      </c>
      <c r="D287" s="162" t="s">
        <v>214</v>
      </c>
      <c r="E287" s="43" t="s">
        <v>393</v>
      </c>
      <c r="F287" s="43">
        <v>17</v>
      </c>
      <c r="G287" s="43" t="s">
        <v>393</v>
      </c>
      <c r="H287" s="43">
        <v>330</v>
      </c>
      <c r="K287" s="49">
        <f>計分版!D287</f>
        <v>3.9500000000000006E-9</v>
      </c>
      <c r="L287" s="43">
        <f>入學要求!S219</f>
        <v>0</v>
      </c>
      <c r="M287" s="43"/>
      <c r="N287" s="43"/>
    </row>
    <row r="288" spans="1:14">
      <c r="K288" s="49"/>
    </row>
    <row r="289" spans="1:15">
      <c r="B289" s="49"/>
      <c r="C289" s="49"/>
      <c r="D289" s="204"/>
      <c r="E289" s="43" t="s">
        <v>403</v>
      </c>
      <c r="F289" s="43" t="s">
        <v>1156</v>
      </c>
      <c r="G289" s="43" t="s">
        <v>1157</v>
      </c>
      <c r="K289" s="49" t="str">
        <f>計分版!D289</f>
        <v>總分</v>
      </c>
      <c r="M289" s="43"/>
      <c r="N289" s="43"/>
    </row>
    <row r="290" spans="1:15">
      <c r="A290" s="49" t="s">
        <v>1216</v>
      </c>
      <c r="B290" s="49" t="s">
        <v>1035</v>
      </c>
      <c r="C290" s="49" t="s">
        <v>967</v>
      </c>
      <c r="D290" s="204" t="s">
        <v>214</v>
      </c>
      <c r="E290" s="43" t="s">
        <v>393</v>
      </c>
      <c r="F290" s="43">
        <v>27.5</v>
      </c>
      <c r="G290" s="43">
        <v>26.5</v>
      </c>
      <c r="H290" s="43">
        <v>46</v>
      </c>
      <c r="I290" s="57"/>
      <c r="K290" s="49">
        <f>計分版!D290</f>
        <v>3.9500000000000006E-9</v>
      </c>
      <c r="L290" s="43">
        <f>入學要求!S275</f>
        <v>0</v>
      </c>
      <c r="M290" s="43"/>
      <c r="N290" s="43"/>
    </row>
    <row r="291" spans="1:15">
      <c r="A291" s="49" t="s">
        <v>1217</v>
      </c>
      <c r="B291" s="49" t="s">
        <v>1035</v>
      </c>
      <c r="C291" s="49" t="s">
        <v>989</v>
      </c>
      <c r="D291" s="204" t="s">
        <v>214</v>
      </c>
      <c r="E291" s="43" t="s">
        <v>393</v>
      </c>
      <c r="F291" s="43">
        <v>23</v>
      </c>
      <c r="G291" s="43">
        <v>22</v>
      </c>
      <c r="H291" s="43">
        <v>41</v>
      </c>
      <c r="I291" s="57"/>
      <c r="K291" s="49">
        <f>計分版!D291</f>
        <v>3.9500000000000006E-9</v>
      </c>
      <c r="L291" s="43">
        <f>入學要求!S276</f>
        <v>0</v>
      </c>
      <c r="M291" s="43"/>
      <c r="N291" s="43"/>
    </row>
    <row r="292" spans="1:15">
      <c r="A292" s="49" t="s">
        <v>1218</v>
      </c>
      <c r="B292" s="49" t="s">
        <v>1035</v>
      </c>
      <c r="C292" s="49" t="s">
        <v>981</v>
      </c>
      <c r="D292" s="204" t="s">
        <v>214</v>
      </c>
      <c r="E292" s="43" t="s">
        <v>393</v>
      </c>
      <c r="F292" s="43">
        <v>25.5</v>
      </c>
      <c r="G292" s="43">
        <v>25</v>
      </c>
      <c r="H292" s="43">
        <v>29</v>
      </c>
      <c r="I292" s="57"/>
      <c r="K292" s="49">
        <f>計分版!D292</f>
        <v>3.9500000000000006E-9</v>
      </c>
      <c r="L292" s="43">
        <f>入學要求!S277</f>
        <v>0</v>
      </c>
      <c r="M292" s="43"/>
      <c r="N292" s="43"/>
    </row>
    <row r="293" spans="1:15">
      <c r="A293" s="49" t="s">
        <v>1219</v>
      </c>
      <c r="B293" s="49" t="s">
        <v>1035</v>
      </c>
      <c r="C293" s="49" t="s">
        <v>969</v>
      </c>
      <c r="D293" s="204" t="s">
        <v>214</v>
      </c>
      <c r="E293" s="43" t="s">
        <v>393</v>
      </c>
      <c r="F293" s="43">
        <v>27</v>
      </c>
      <c r="G293" s="43">
        <v>26.5</v>
      </c>
      <c r="H293" s="43">
        <v>28</v>
      </c>
      <c r="I293" s="57"/>
      <c r="K293" s="49">
        <f>計分版!D293</f>
        <v>3.9500000000000006E-9</v>
      </c>
      <c r="L293" s="43">
        <f>入學要求!S278</f>
        <v>0</v>
      </c>
      <c r="M293" s="43"/>
      <c r="N293" s="43"/>
    </row>
    <row r="294" spans="1:15">
      <c r="A294" s="49" t="s">
        <v>1220</v>
      </c>
      <c r="B294" s="49" t="s">
        <v>1035</v>
      </c>
      <c r="C294" s="49" t="s">
        <v>983</v>
      </c>
      <c r="D294" s="204" t="s">
        <v>214</v>
      </c>
      <c r="E294" s="43" t="s">
        <v>393</v>
      </c>
      <c r="F294" s="43">
        <v>25</v>
      </c>
      <c r="G294" s="43">
        <v>25</v>
      </c>
      <c r="H294" s="43">
        <v>31</v>
      </c>
      <c r="I294" s="57"/>
      <c r="K294" s="49">
        <f>計分版!D294</f>
        <v>3.9500000000000006E-9</v>
      </c>
      <c r="L294" s="43">
        <f>入學要求!S279</f>
        <v>0</v>
      </c>
      <c r="M294" s="43"/>
      <c r="N294" s="43"/>
    </row>
    <row r="295" spans="1:15">
      <c r="A295" s="49" t="s">
        <v>1011</v>
      </c>
      <c r="B295" s="49" t="s">
        <v>1035</v>
      </c>
      <c r="C295" s="49" t="s">
        <v>985</v>
      </c>
      <c r="D295" s="204" t="s">
        <v>214</v>
      </c>
      <c r="E295" s="43" t="s">
        <v>393</v>
      </c>
      <c r="F295" s="43">
        <v>28</v>
      </c>
      <c r="G295" s="43">
        <v>27</v>
      </c>
      <c r="H295" s="43">
        <v>28</v>
      </c>
      <c r="I295" s="57"/>
      <c r="K295" s="49">
        <f>計分版!D295</f>
        <v>3.9500000000000006E-9</v>
      </c>
      <c r="L295" s="43">
        <f>入學要求!S280</f>
        <v>0</v>
      </c>
      <c r="M295" s="43"/>
      <c r="N295" s="43"/>
    </row>
    <row r="296" spans="1:15">
      <c r="A296" s="49" t="s">
        <v>1012</v>
      </c>
      <c r="B296" s="49" t="s">
        <v>1035</v>
      </c>
      <c r="C296" s="49" t="s">
        <v>987</v>
      </c>
      <c r="D296" s="204" t="s">
        <v>214</v>
      </c>
      <c r="E296" s="43" t="s">
        <v>393</v>
      </c>
      <c r="F296" s="43">
        <v>28</v>
      </c>
      <c r="G296" s="43">
        <v>27</v>
      </c>
      <c r="H296" s="43">
        <v>26</v>
      </c>
      <c r="I296" s="57"/>
      <c r="K296" s="49">
        <f>計分版!D296</f>
        <v>3.9500000000000006E-9</v>
      </c>
      <c r="L296" s="43">
        <f>入學要求!S281</f>
        <v>0</v>
      </c>
      <c r="M296" s="43"/>
      <c r="N296" s="43"/>
    </row>
    <row r="297" spans="1:15">
      <c r="A297" s="49" t="s">
        <v>1221</v>
      </c>
      <c r="B297" s="49" t="s">
        <v>1035</v>
      </c>
      <c r="C297" s="49" t="s">
        <v>971</v>
      </c>
      <c r="D297" s="204" t="s">
        <v>214</v>
      </c>
      <c r="E297" s="43" t="s">
        <v>393</v>
      </c>
      <c r="F297" s="43">
        <v>26</v>
      </c>
      <c r="G297" s="43">
        <v>26</v>
      </c>
      <c r="H297" s="43">
        <v>144</v>
      </c>
      <c r="I297" s="57"/>
      <c r="K297" s="49">
        <f>計分版!D297</f>
        <v>3.9500000000000006E-9</v>
      </c>
      <c r="L297" s="43">
        <f>入學要求!S282</f>
        <v>0</v>
      </c>
      <c r="M297" s="43"/>
      <c r="N297" s="43"/>
    </row>
    <row r="298" spans="1:15">
      <c r="A298" s="49" t="s">
        <v>1222</v>
      </c>
      <c r="B298" s="49" t="s">
        <v>1035</v>
      </c>
      <c r="C298" s="49" t="s">
        <v>973</v>
      </c>
      <c r="D298" s="204" t="s">
        <v>214</v>
      </c>
      <c r="E298" s="43" t="s">
        <v>393</v>
      </c>
      <c r="F298" s="43">
        <v>26</v>
      </c>
      <c r="G298" s="43">
        <v>26</v>
      </c>
      <c r="H298" s="43">
        <v>25</v>
      </c>
      <c r="I298" s="57"/>
      <c r="K298" s="49">
        <f>計分版!D298</f>
        <v>3.9500000000000006E-9</v>
      </c>
      <c r="L298" s="43">
        <f>入學要求!S283</f>
        <v>0</v>
      </c>
      <c r="M298" s="43"/>
      <c r="N298" s="43"/>
    </row>
    <row r="299" spans="1:15">
      <c r="A299" s="49" t="s">
        <v>1223</v>
      </c>
      <c r="B299" s="49" t="s">
        <v>1035</v>
      </c>
      <c r="C299" s="49" t="s">
        <v>975</v>
      </c>
      <c r="D299" s="204" t="s">
        <v>214</v>
      </c>
      <c r="E299" s="43" t="s">
        <v>393</v>
      </c>
      <c r="F299" s="43">
        <v>27.3</v>
      </c>
      <c r="G299" s="43">
        <v>27.1</v>
      </c>
      <c r="H299" s="43">
        <v>25</v>
      </c>
      <c r="I299" s="57"/>
      <c r="K299" s="49">
        <f>計分版!D299</f>
        <v>3.9500000000000006E-9</v>
      </c>
      <c r="L299" s="43">
        <f>入學要求!S284</f>
        <v>0</v>
      </c>
      <c r="M299" s="43"/>
      <c r="N299" s="43"/>
    </row>
    <row r="300" spans="1:15">
      <c r="A300" s="49" t="s">
        <v>1224</v>
      </c>
      <c r="B300" s="49" t="s">
        <v>1035</v>
      </c>
      <c r="C300" s="49" t="s">
        <v>977</v>
      </c>
      <c r="D300" s="204" t="s">
        <v>214</v>
      </c>
      <c r="E300" s="43" t="s">
        <v>393</v>
      </c>
      <c r="F300" s="43">
        <v>24</v>
      </c>
      <c r="G300" s="43">
        <v>23</v>
      </c>
      <c r="H300" s="43">
        <v>98</v>
      </c>
      <c r="I300" s="57"/>
      <c r="K300" s="49">
        <f>計分版!D300</f>
        <v>3.9500000000000006E-9</v>
      </c>
      <c r="L300" s="43">
        <f>入學要求!S285</f>
        <v>0</v>
      </c>
      <c r="M300" s="43"/>
      <c r="N300" s="43"/>
    </row>
    <row r="301" spans="1:15">
      <c r="A301" s="49" t="s">
        <v>1225</v>
      </c>
      <c r="B301" s="49" t="s">
        <v>1035</v>
      </c>
      <c r="C301" s="49" t="s">
        <v>979</v>
      </c>
      <c r="D301" s="204" t="s">
        <v>214</v>
      </c>
      <c r="E301" s="43" t="s">
        <v>393</v>
      </c>
      <c r="F301" s="43">
        <v>24</v>
      </c>
      <c r="G301" s="43">
        <v>23.5</v>
      </c>
      <c r="H301" s="43">
        <v>20</v>
      </c>
      <c r="I301" s="57"/>
      <c r="K301" s="49">
        <f>計分版!D301</f>
        <v>3.9500000000000006E-9</v>
      </c>
      <c r="L301" s="43">
        <f>入學要求!S286</f>
        <v>0</v>
      </c>
      <c r="M301" s="43"/>
      <c r="N301" s="43"/>
    </row>
    <row r="302" spans="1:15">
      <c r="K302" s="49"/>
    </row>
    <row r="303" spans="1:15">
      <c r="B303" s="49"/>
      <c r="C303" s="49"/>
      <c r="D303" s="204"/>
      <c r="E303" s="43" t="s">
        <v>403</v>
      </c>
      <c r="F303" s="43" t="s">
        <v>1156</v>
      </c>
      <c r="G303" s="43" t="s">
        <v>1157</v>
      </c>
      <c r="H303" s="49"/>
      <c r="I303" s="49"/>
      <c r="J303" s="49"/>
      <c r="K303" s="49" t="str">
        <f>計分版!D303</f>
        <v>總分</v>
      </c>
      <c r="L303" s="49"/>
      <c r="M303" s="49"/>
      <c r="N303" s="49"/>
      <c r="O303" s="49"/>
    </row>
    <row r="304" spans="1:15">
      <c r="A304" s="49" t="s">
        <v>1037</v>
      </c>
      <c r="B304" s="49" t="s">
        <v>1136</v>
      </c>
      <c r="C304" s="204" t="s">
        <v>242</v>
      </c>
      <c r="D304" s="204" t="s">
        <v>1130</v>
      </c>
      <c r="E304" s="43" t="s">
        <v>393</v>
      </c>
      <c r="F304" s="43">
        <f>5+4+4+4+5</f>
        <v>22</v>
      </c>
      <c r="G304" s="43">
        <f>6+3+2+5+5</f>
        <v>21</v>
      </c>
      <c r="H304" s="43">
        <v>56</v>
      </c>
      <c r="K304" s="49">
        <f>計分版!D304</f>
        <v>1.9500000000000001E-9</v>
      </c>
      <c r="L304" s="43">
        <f>入學要求!S289</f>
        <v>0</v>
      </c>
      <c r="M304" s="43"/>
      <c r="N304" s="43"/>
    </row>
    <row r="305" spans="1:14">
      <c r="A305" s="43" t="s">
        <v>1038</v>
      </c>
      <c r="B305" s="49" t="s">
        <v>1136</v>
      </c>
      <c r="C305" s="162" t="s">
        <v>1067</v>
      </c>
      <c r="D305" s="204" t="s">
        <v>220</v>
      </c>
      <c r="E305" s="43" t="s">
        <v>393</v>
      </c>
      <c r="F305" s="43" t="s">
        <v>899</v>
      </c>
      <c r="G305" s="43" t="s">
        <v>899</v>
      </c>
      <c r="H305" s="43">
        <v>18</v>
      </c>
      <c r="K305" s="49">
        <f>計分版!D305</f>
        <v>2.8499999999999999E-9</v>
      </c>
      <c r="L305" s="43">
        <f>入學要求!S290</f>
        <v>0</v>
      </c>
      <c r="M305" s="43"/>
      <c r="N305" s="43"/>
    </row>
    <row r="306" spans="1:14">
      <c r="A306" s="43" t="s">
        <v>1039</v>
      </c>
      <c r="B306" s="49" t="s">
        <v>1136</v>
      </c>
      <c r="C306" s="162" t="s">
        <v>1069</v>
      </c>
      <c r="D306" s="204" t="s">
        <v>220</v>
      </c>
      <c r="E306" s="43" t="s">
        <v>393</v>
      </c>
      <c r="F306" s="43" t="s">
        <v>899</v>
      </c>
      <c r="G306" s="43" t="s">
        <v>899</v>
      </c>
      <c r="H306" s="43">
        <v>14</v>
      </c>
      <c r="K306" s="49">
        <f>計分版!D306</f>
        <v>2.8499999999999999E-9</v>
      </c>
      <c r="L306" s="43">
        <f>入學要求!S291</f>
        <v>0</v>
      </c>
      <c r="M306" s="43"/>
      <c r="N306" s="43"/>
    </row>
    <row r="307" spans="1:14">
      <c r="A307" s="43" t="s">
        <v>1040</v>
      </c>
      <c r="B307" s="49" t="s">
        <v>1136</v>
      </c>
      <c r="C307" s="162" t="s">
        <v>1071</v>
      </c>
      <c r="D307" s="204" t="s">
        <v>220</v>
      </c>
      <c r="E307" s="43" t="s">
        <v>393</v>
      </c>
      <c r="F307" s="43" t="s">
        <v>899</v>
      </c>
      <c r="G307" s="43" t="s">
        <v>899</v>
      </c>
      <c r="H307" s="43">
        <v>14</v>
      </c>
      <c r="K307" s="49">
        <f>計分版!D307</f>
        <v>2.8499999999999999E-9</v>
      </c>
      <c r="L307" s="43">
        <f>入學要求!S292</f>
        <v>0</v>
      </c>
      <c r="M307" s="43"/>
      <c r="N307" s="43"/>
    </row>
    <row r="308" spans="1:14">
      <c r="A308" s="43" t="s">
        <v>1041</v>
      </c>
      <c r="B308" s="49" t="s">
        <v>1136</v>
      </c>
      <c r="C308" s="162" t="s">
        <v>1073</v>
      </c>
      <c r="D308" s="204" t="s">
        <v>220</v>
      </c>
      <c r="E308" s="43" t="s">
        <v>393</v>
      </c>
      <c r="F308" s="43" t="s">
        <v>899</v>
      </c>
      <c r="G308" s="43" t="s">
        <v>899</v>
      </c>
      <c r="H308" s="43">
        <v>14</v>
      </c>
      <c r="K308" s="49">
        <f>計分版!D308</f>
        <v>2.8499999999999999E-9</v>
      </c>
      <c r="L308" s="43">
        <f>入學要求!S293</f>
        <v>0</v>
      </c>
      <c r="M308" s="43"/>
      <c r="N308" s="43"/>
    </row>
    <row r="309" spans="1:14">
      <c r="A309" s="43" t="s">
        <v>1042</v>
      </c>
      <c r="B309" s="49" t="s">
        <v>1136</v>
      </c>
      <c r="C309" s="162" t="s">
        <v>1075</v>
      </c>
      <c r="D309" s="204" t="s">
        <v>220</v>
      </c>
      <c r="E309" s="43" t="s">
        <v>393</v>
      </c>
      <c r="F309" s="43" t="s">
        <v>899</v>
      </c>
      <c r="G309" s="43" t="s">
        <v>899</v>
      </c>
      <c r="H309" s="43">
        <v>10</v>
      </c>
      <c r="K309" s="49">
        <f>計分版!D309</f>
        <v>2.8499999999999999E-9</v>
      </c>
      <c r="L309" s="43">
        <f>入學要求!S294</f>
        <v>0</v>
      </c>
      <c r="M309" s="43"/>
      <c r="N309" s="43"/>
    </row>
    <row r="310" spans="1:14">
      <c r="A310" s="43" t="s">
        <v>1043</v>
      </c>
      <c r="B310" s="49" t="s">
        <v>1136</v>
      </c>
      <c r="C310" s="162" t="s">
        <v>1077</v>
      </c>
      <c r="D310" s="204"/>
      <c r="E310" s="43" t="s">
        <v>393</v>
      </c>
      <c r="F310" s="43" t="s">
        <v>899</v>
      </c>
      <c r="G310" s="43" t="s">
        <v>899</v>
      </c>
      <c r="H310" s="43">
        <v>14</v>
      </c>
      <c r="K310" s="49">
        <f>計分版!D310</f>
        <v>2.8499999999999999E-9</v>
      </c>
      <c r="L310" s="43">
        <f>入學要求!S295</f>
        <v>0</v>
      </c>
      <c r="M310" s="43"/>
      <c r="N310" s="43"/>
    </row>
    <row r="311" spans="1:14">
      <c r="A311" s="43" t="s">
        <v>1044</v>
      </c>
      <c r="B311" s="49" t="s">
        <v>1136</v>
      </c>
      <c r="C311" s="162" t="s">
        <v>1079</v>
      </c>
      <c r="D311" s="204" t="s">
        <v>1130</v>
      </c>
      <c r="E311" s="43" t="s">
        <v>393</v>
      </c>
      <c r="F311" s="43">
        <f>4+4+4+5+5</f>
        <v>22</v>
      </c>
      <c r="G311" s="43">
        <f>4+4+4+4+5</f>
        <v>21</v>
      </c>
      <c r="H311" s="43">
        <v>28</v>
      </c>
      <c r="K311" s="49">
        <f>計分版!D311</f>
        <v>1.9500000000000001E-9</v>
      </c>
      <c r="L311" s="43">
        <f>入學要求!S296</f>
        <v>0</v>
      </c>
      <c r="M311" s="43"/>
      <c r="N311" s="43"/>
    </row>
    <row r="312" spans="1:14">
      <c r="A312" s="43" t="s">
        <v>1140</v>
      </c>
      <c r="B312" s="49" t="s">
        <v>1136</v>
      </c>
      <c r="C312" s="162" t="s">
        <v>1139</v>
      </c>
      <c r="D312" s="204" t="s">
        <v>1130</v>
      </c>
      <c r="E312" s="43" t="s">
        <v>393</v>
      </c>
      <c r="F312" s="43">
        <f>4*1.5+5*2+4*1.5+4*1.5+4*2</f>
        <v>36</v>
      </c>
      <c r="G312" s="43">
        <f>4*1.5+5*2+4*1.5+3*1.5+4*2</f>
        <v>34.5</v>
      </c>
      <c r="H312" s="43">
        <v>40</v>
      </c>
      <c r="K312" s="49">
        <f>計分版!D312</f>
        <v>2.5499999999999997E-9</v>
      </c>
      <c r="L312" s="43">
        <f>入學要求!S297</f>
        <v>0</v>
      </c>
      <c r="M312" s="43"/>
      <c r="N312" s="43"/>
    </row>
    <row r="313" spans="1:14">
      <c r="A313" s="43" t="s">
        <v>1046</v>
      </c>
      <c r="B313" s="49" t="s">
        <v>1136</v>
      </c>
      <c r="C313" s="162" t="s">
        <v>1083</v>
      </c>
      <c r="D313" s="204" t="s">
        <v>1130</v>
      </c>
      <c r="E313" s="43" t="s">
        <v>393</v>
      </c>
      <c r="F313" s="43">
        <f>4+4+5+4+5</f>
        <v>22</v>
      </c>
      <c r="G313" s="43">
        <f>4+5+4+5+4</f>
        <v>22</v>
      </c>
      <c r="H313" s="43">
        <v>15</v>
      </c>
      <c r="K313" s="49">
        <f>計分版!D313</f>
        <v>1.9500000000000001E-9</v>
      </c>
      <c r="L313" s="43">
        <f>入學要求!S298</f>
        <v>0</v>
      </c>
      <c r="M313" s="43"/>
      <c r="N313" s="43"/>
    </row>
    <row r="314" spans="1:14">
      <c r="A314" s="43" t="s">
        <v>1047</v>
      </c>
      <c r="B314" s="49" t="s">
        <v>1136</v>
      </c>
      <c r="C314" s="162" t="s">
        <v>1085</v>
      </c>
      <c r="D314" s="204" t="s">
        <v>1134</v>
      </c>
      <c r="E314" s="43" t="s">
        <v>393</v>
      </c>
      <c r="F314" s="43">
        <f>4+4*1.5+4+4+4+4</f>
        <v>26</v>
      </c>
      <c r="G314" s="43">
        <f>3+3*1.5+5+4+5+4</f>
        <v>25.5</v>
      </c>
      <c r="H314" s="43">
        <v>50</v>
      </c>
      <c r="K314" s="49">
        <f>計分版!D314</f>
        <v>2.9499999999999999E-9</v>
      </c>
      <c r="L314" s="43">
        <f>入學要求!S299</f>
        <v>0</v>
      </c>
      <c r="M314" s="43"/>
      <c r="N314" s="43"/>
    </row>
    <row r="315" spans="1:14">
      <c r="A315" s="43" t="s">
        <v>1048</v>
      </c>
      <c r="B315" s="49" t="s">
        <v>1136</v>
      </c>
      <c r="C315" s="162" t="s">
        <v>1087</v>
      </c>
      <c r="D315" s="204" t="s">
        <v>1134</v>
      </c>
      <c r="E315" s="43" t="s">
        <v>393</v>
      </c>
      <c r="F315" s="43">
        <f>4+4*1.5+4+3+5+4</f>
        <v>26</v>
      </c>
      <c r="G315" s="43">
        <f>4+4*1.5+4+4+4+4</f>
        <v>26</v>
      </c>
      <c r="H315" s="43">
        <v>193</v>
      </c>
      <c r="K315" s="49">
        <f>計分版!D315</f>
        <v>2.9499999999999999E-9</v>
      </c>
      <c r="L315" s="43">
        <f>入學要求!S300</f>
        <v>0</v>
      </c>
      <c r="M315" s="43"/>
      <c r="N315" s="43"/>
    </row>
    <row r="316" spans="1:14">
      <c r="A316" s="43" t="s">
        <v>1049</v>
      </c>
      <c r="B316" s="49" t="s">
        <v>1136</v>
      </c>
      <c r="C316" s="162" t="s">
        <v>1089</v>
      </c>
      <c r="D316" s="204" t="s">
        <v>1132</v>
      </c>
      <c r="E316" s="43" t="s">
        <v>393</v>
      </c>
      <c r="F316" s="43">
        <f>6*1.25+4*1.25+5+4+4+3</f>
        <v>28.5</v>
      </c>
      <c r="G316" s="43">
        <f>5*1.25+3*1.25+5+5+4+4</f>
        <v>28</v>
      </c>
      <c r="H316" s="43">
        <v>82</v>
      </c>
      <c r="K316" s="49">
        <f>計分版!D316</f>
        <v>2.9249999999999997E-9</v>
      </c>
      <c r="L316" s="43">
        <f>入學要求!S301</f>
        <v>0</v>
      </c>
      <c r="M316" s="43"/>
      <c r="N316" s="43"/>
    </row>
    <row r="317" spans="1:14">
      <c r="A317" s="43" t="s">
        <v>1050</v>
      </c>
      <c r="B317" s="49" t="s">
        <v>1136</v>
      </c>
      <c r="C317" s="162" t="s">
        <v>1091</v>
      </c>
      <c r="D317" s="204" t="s">
        <v>1132</v>
      </c>
      <c r="E317" s="43" t="s">
        <v>393</v>
      </c>
      <c r="F317" s="43">
        <f>4*1.25+3*1.25+4+5+4+4</f>
        <v>25.75</v>
      </c>
      <c r="G317" s="43">
        <f>4*1.25+4*1.25+3+4+4+4</f>
        <v>25</v>
      </c>
      <c r="H317" s="43">
        <v>12</v>
      </c>
      <c r="K317" s="49">
        <f>計分版!D317</f>
        <v>2.9249999999999997E-9</v>
      </c>
      <c r="L317" s="43">
        <f>入學要求!S302</f>
        <v>0</v>
      </c>
      <c r="M317" s="43"/>
      <c r="N317" s="43"/>
    </row>
    <row r="318" spans="1:14">
      <c r="A318" s="43" t="s">
        <v>1051</v>
      </c>
      <c r="B318" s="49" t="s">
        <v>1136</v>
      </c>
      <c r="C318" s="162" t="s">
        <v>1093</v>
      </c>
      <c r="D318" s="204" t="s">
        <v>1132</v>
      </c>
      <c r="E318" s="43" t="s">
        <v>393</v>
      </c>
      <c r="F318" s="43">
        <f>4*1.25+4*1.25+5+4+4+4</f>
        <v>27</v>
      </c>
      <c r="G318" s="43">
        <f>3*1.25+3*1.25+4+4+6+3</f>
        <v>24.5</v>
      </c>
      <c r="H318" s="43">
        <v>20</v>
      </c>
      <c r="K318" s="49">
        <f>計分版!D318</f>
        <v>2.9249999999999997E-9</v>
      </c>
      <c r="L318" s="43">
        <f>入學要求!S303</f>
        <v>0</v>
      </c>
      <c r="M318" s="43"/>
      <c r="N318" s="43"/>
    </row>
    <row r="319" spans="1:14">
      <c r="A319" s="43" t="s">
        <v>1052</v>
      </c>
      <c r="B319" s="49" t="s">
        <v>1136</v>
      </c>
      <c r="C319" s="162" t="s">
        <v>1095</v>
      </c>
      <c r="D319" s="204" t="s">
        <v>82</v>
      </c>
      <c r="E319" s="43" t="s">
        <v>393</v>
      </c>
      <c r="F319" s="43" t="s">
        <v>899</v>
      </c>
      <c r="G319" s="43" t="s">
        <v>899</v>
      </c>
      <c r="H319" s="43">
        <v>8</v>
      </c>
      <c r="K319" s="49">
        <f>計分版!D319</f>
        <v>3.9500000000000006E-9</v>
      </c>
      <c r="L319" s="43">
        <f>入學要求!S304</f>
        <v>0</v>
      </c>
      <c r="M319" s="43"/>
      <c r="N319" s="43"/>
    </row>
    <row r="320" spans="1:14">
      <c r="A320" s="43" t="s">
        <v>1053</v>
      </c>
      <c r="B320" s="49" t="s">
        <v>1136</v>
      </c>
      <c r="C320" s="162" t="s">
        <v>1097</v>
      </c>
      <c r="D320" s="204" t="s">
        <v>1132</v>
      </c>
      <c r="E320" s="43" t="s">
        <v>393</v>
      </c>
      <c r="F320" s="43">
        <f>5*1.5+4*1.5+6*1.25+4+6*1.5+5*1.25</f>
        <v>40.25</v>
      </c>
      <c r="G320" s="43">
        <f>6*1.5+4*1.5+5*1.25+4+6*1.5+4*1.25</f>
        <v>39.25</v>
      </c>
      <c r="H320" s="43">
        <v>30</v>
      </c>
      <c r="K320" s="49">
        <f>計分版!D320</f>
        <v>2.8500000000000003E-9</v>
      </c>
      <c r="L320" s="43">
        <f>入學要求!S305</f>
        <v>0</v>
      </c>
      <c r="M320" s="43"/>
      <c r="N320" s="43"/>
    </row>
    <row r="321" spans="1:14">
      <c r="A321" s="43" t="s">
        <v>1054</v>
      </c>
      <c r="B321" s="49" t="s">
        <v>1136</v>
      </c>
      <c r="C321" s="162" t="s">
        <v>1099</v>
      </c>
      <c r="D321" s="204" t="s">
        <v>1132</v>
      </c>
      <c r="E321" s="43" t="s">
        <v>393</v>
      </c>
      <c r="F321" s="43">
        <f>5*1.5+3*1.5+3*1.25+5+4*1.5+4*1.25</f>
        <v>31.75</v>
      </c>
      <c r="G321" s="43">
        <f>5*1.5+3*1.5+4*1.25+4+4*1.5+4</f>
        <v>31</v>
      </c>
      <c r="H321" s="43">
        <v>15</v>
      </c>
      <c r="K321" s="49">
        <f>計分版!D321</f>
        <v>2.8500000000000003E-9</v>
      </c>
      <c r="L321" s="43">
        <f>入學要求!S306</f>
        <v>0</v>
      </c>
      <c r="M321" s="43"/>
      <c r="N321" s="43"/>
    </row>
    <row r="322" spans="1:14">
      <c r="A322" s="43" t="s">
        <v>1055</v>
      </c>
      <c r="B322" s="49" t="s">
        <v>1136</v>
      </c>
      <c r="C322" s="162" t="s">
        <v>303</v>
      </c>
      <c r="D322" s="204" t="s">
        <v>1138</v>
      </c>
      <c r="E322" s="43" t="s">
        <v>393</v>
      </c>
      <c r="F322" s="43">
        <f>4+3+4+5+4</f>
        <v>20</v>
      </c>
      <c r="G322" s="43">
        <f>4+3+4+4+4</f>
        <v>19</v>
      </c>
      <c r="H322" s="43">
        <v>206</v>
      </c>
      <c r="K322" s="49">
        <f>計分版!D322</f>
        <v>1.9500000000000001E-9</v>
      </c>
      <c r="L322" s="43">
        <f>入學要求!S307</f>
        <v>0</v>
      </c>
      <c r="M322" s="43"/>
      <c r="N322" s="43"/>
    </row>
    <row r="323" spans="1:14">
      <c r="A323" s="43" t="s">
        <v>1056</v>
      </c>
      <c r="B323" s="49" t="s">
        <v>1136</v>
      </c>
      <c r="C323" s="162" t="s">
        <v>1102</v>
      </c>
      <c r="D323" s="204" t="s">
        <v>1130</v>
      </c>
      <c r="E323" s="43" t="s">
        <v>393</v>
      </c>
      <c r="F323" s="43">
        <f>4+4*2+4+4+5</f>
        <v>25</v>
      </c>
      <c r="G323" s="43">
        <f>3+4*2+4+5+5</f>
        <v>25</v>
      </c>
      <c r="H323" s="43">
        <v>105</v>
      </c>
      <c r="K323" s="49">
        <f>計分版!D323</f>
        <v>2.1500000000000002E-9</v>
      </c>
      <c r="L323" s="43">
        <f>入學要求!S308</f>
        <v>0</v>
      </c>
      <c r="M323" s="43"/>
      <c r="N323" s="43"/>
    </row>
    <row r="324" spans="1:14">
      <c r="A324" s="43" t="s">
        <v>1057</v>
      </c>
      <c r="B324" s="49" t="s">
        <v>1136</v>
      </c>
      <c r="C324" s="162" t="s">
        <v>1104</v>
      </c>
      <c r="D324" s="204" t="s">
        <v>1130</v>
      </c>
      <c r="E324" s="43" t="s">
        <v>393</v>
      </c>
      <c r="F324" s="43">
        <f>5+4+4+5+4</f>
        <v>22</v>
      </c>
      <c r="G324" s="43">
        <f>5+4+5+4+4</f>
        <v>22</v>
      </c>
      <c r="H324" s="43">
        <v>26</v>
      </c>
      <c r="K324" s="49">
        <f>計分版!D324</f>
        <v>1.9500000000000001E-9</v>
      </c>
      <c r="L324" s="43">
        <f>入學要求!S309</f>
        <v>0</v>
      </c>
      <c r="M324" s="43"/>
      <c r="N324" s="43"/>
    </row>
    <row r="325" spans="1:14">
      <c r="A325" s="43" t="s">
        <v>1058</v>
      </c>
      <c r="B325" s="49" t="s">
        <v>1136</v>
      </c>
      <c r="C325" s="162" t="s">
        <v>1106</v>
      </c>
      <c r="D325" s="204" t="s">
        <v>1132</v>
      </c>
      <c r="E325" s="43" t="s">
        <v>393</v>
      </c>
      <c r="F325" s="43">
        <f>4+4*1.2+4+4+5+4</f>
        <v>25.8</v>
      </c>
      <c r="G325" s="43">
        <f>5+3*1.2+3+4+5+5</f>
        <v>25.6</v>
      </c>
      <c r="H325" s="43">
        <v>15</v>
      </c>
      <c r="K325" s="49">
        <f>計分版!D325</f>
        <v>2.8899999999999997E-9</v>
      </c>
      <c r="L325" s="43">
        <f>入學要求!S310</f>
        <v>0</v>
      </c>
      <c r="M325" s="43"/>
      <c r="N325" s="43"/>
    </row>
    <row r="326" spans="1:14">
      <c r="A326" s="43" t="s">
        <v>1059</v>
      </c>
      <c r="B326" s="49" t="s">
        <v>1136</v>
      </c>
      <c r="C326" s="162" t="s">
        <v>1108</v>
      </c>
      <c r="D326" s="204" t="s">
        <v>1132</v>
      </c>
      <c r="E326" s="43" t="s">
        <v>393</v>
      </c>
      <c r="F326" s="43">
        <f>5+4*1.2+4+4+5+3</f>
        <v>25.8</v>
      </c>
      <c r="G326" s="43">
        <f>3+4*1.2+3+3+6+5</f>
        <v>24.8</v>
      </c>
      <c r="H326" s="43">
        <v>15</v>
      </c>
      <c r="K326" s="49">
        <f>計分版!D326</f>
        <v>2.8899999999999997E-9</v>
      </c>
      <c r="L326" s="43">
        <f>入學要求!S311</f>
        <v>0</v>
      </c>
      <c r="M326" s="43"/>
      <c r="N326" s="43"/>
    </row>
    <row r="327" spans="1:14">
      <c r="A327" s="43" t="s">
        <v>1060</v>
      </c>
      <c r="B327" s="49" t="s">
        <v>1136</v>
      </c>
      <c r="C327" s="162" t="s">
        <v>1110</v>
      </c>
      <c r="D327" s="204" t="s">
        <v>1130</v>
      </c>
      <c r="E327" s="43" t="s">
        <v>393</v>
      </c>
      <c r="F327" s="43">
        <f>3+3*2+6+5*1.5+5</f>
        <v>27.5</v>
      </c>
      <c r="G327" s="43">
        <f>5+4*2+4+4*1.25+4</f>
        <v>26</v>
      </c>
      <c r="H327" s="43">
        <v>43</v>
      </c>
      <c r="K327" s="49">
        <f>計分版!D327</f>
        <v>2.3500000000000004E-9</v>
      </c>
      <c r="L327" s="43">
        <f>入學要求!S312</f>
        <v>0</v>
      </c>
      <c r="M327" s="43"/>
      <c r="N327" s="43"/>
    </row>
    <row r="328" spans="1:14">
      <c r="A328" s="43" t="s">
        <v>1061</v>
      </c>
      <c r="B328" s="49" t="s">
        <v>1136</v>
      </c>
      <c r="C328" s="162" t="s">
        <v>1112</v>
      </c>
      <c r="D328" s="204" t="s">
        <v>220</v>
      </c>
      <c r="E328" s="43" t="s">
        <v>393</v>
      </c>
      <c r="F328" s="43" t="s">
        <v>899</v>
      </c>
      <c r="G328" s="43" t="s">
        <v>899</v>
      </c>
      <c r="H328" s="43">
        <v>20</v>
      </c>
      <c r="K328" s="49">
        <f>計分版!D328</f>
        <v>2.9999999999999996E-9</v>
      </c>
      <c r="L328" s="43">
        <f>入學要求!S313</f>
        <v>0</v>
      </c>
      <c r="M328" s="43"/>
      <c r="N328" s="43"/>
    </row>
    <row r="329" spans="1:14">
      <c r="A329" s="43" t="s">
        <v>1062</v>
      </c>
      <c r="B329" s="49" t="s">
        <v>1136</v>
      </c>
      <c r="C329" s="162" t="s">
        <v>1114</v>
      </c>
      <c r="D329" s="204" t="s">
        <v>1130</v>
      </c>
      <c r="E329" s="43" t="s">
        <v>393</v>
      </c>
      <c r="F329" s="43">
        <f>4+3+6+4+5</f>
        <v>22</v>
      </c>
      <c r="G329" s="43">
        <f>4+3+4+5+5</f>
        <v>21</v>
      </c>
      <c r="H329" s="43">
        <v>8</v>
      </c>
      <c r="K329" s="49">
        <f>計分版!D329</f>
        <v>1.9500000000000001E-9</v>
      </c>
      <c r="L329" s="43">
        <f>入學要求!S314</f>
        <v>0</v>
      </c>
      <c r="M329" s="43"/>
      <c r="N329" s="43"/>
    </row>
    <row r="330" spans="1:14">
      <c r="A330" s="43" t="s">
        <v>1063</v>
      </c>
      <c r="B330" s="49" t="s">
        <v>1136</v>
      </c>
      <c r="C330" s="162" t="s">
        <v>1116</v>
      </c>
      <c r="D330" s="204" t="s">
        <v>1130</v>
      </c>
      <c r="E330" s="43" t="s">
        <v>393</v>
      </c>
      <c r="F330" s="43">
        <f>5+3+3+6+5*1.2</f>
        <v>23</v>
      </c>
      <c r="G330" s="43">
        <f>5+4+3+3+5*1.2</f>
        <v>21</v>
      </c>
      <c r="H330" s="43">
        <v>10</v>
      </c>
      <c r="K330" s="49">
        <f>計分版!D330</f>
        <v>1.9500000000000001E-9</v>
      </c>
      <c r="L330" s="43">
        <f>入學要求!S315</f>
        <v>0</v>
      </c>
      <c r="M330" s="43"/>
      <c r="N330" s="43"/>
    </row>
    <row r="331" spans="1:14">
      <c r="A331" s="43" t="s">
        <v>1064</v>
      </c>
      <c r="B331" s="49" t="s">
        <v>1136</v>
      </c>
      <c r="C331" s="162" t="s">
        <v>1118</v>
      </c>
      <c r="D331" s="204" t="s">
        <v>82</v>
      </c>
      <c r="E331" s="43" t="s">
        <v>393</v>
      </c>
      <c r="F331" s="43">
        <f>4+4+5+4+4</f>
        <v>21</v>
      </c>
      <c r="G331" s="43">
        <f>4+3+6+5+4</f>
        <v>22</v>
      </c>
      <c r="H331" s="43">
        <v>52</v>
      </c>
      <c r="K331" s="49">
        <f>計分版!D331</f>
        <v>3.5500000000000004E-9</v>
      </c>
      <c r="L331" s="43">
        <f>入學要求!S316</f>
        <v>0</v>
      </c>
      <c r="M331" s="43"/>
      <c r="N331" s="43"/>
    </row>
    <row r="332" spans="1:14">
      <c r="A332" s="43" t="s">
        <v>1065</v>
      </c>
      <c r="B332" s="49" t="s">
        <v>1136</v>
      </c>
      <c r="C332" s="162" t="s">
        <v>1120</v>
      </c>
      <c r="D332" s="204" t="s">
        <v>1134</v>
      </c>
      <c r="E332" s="43" t="s">
        <v>393</v>
      </c>
      <c r="F332" s="43">
        <f>3+3+4+4+4+4</f>
        <v>22</v>
      </c>
      <c r="G332" s="43">
        <f>4+3+3+4+4+4</f>
        <v>22</v>
      </c>
      <c r="H332" s="43">
        <v>15</v>
      </c>
      <c r="K332" s="49">
        <f>計分版!D332</f>
        <v>2.7000000000000002E-9</v>
      </c>
      <c r="L332" s="43">
        <f>入學要求!S317</f>
        <v>0</v>
      </c>
      <c r="M332" s="43"/>
      <c r="N332" s="43"/>
    </row>
    <row r="333" spans="1:14">
      <c r="K333" s="49"/>
    </row>
    <row r="334" spans="1:14">
      <c r="C334" s="16"/>
      <c r="E334" s="43" t="s">
        <v>403</v>
      </c>
      <c r="F334" s="43" t="s">
        <v>1156</v>
      </c>
      <c r="G334" s="43" t="s">
        <v>1157</v>
      </c>
      <c r="K334" s="49" t="str">
        <f>計分版!D334</f>
        <v>總分</v>
      </c>
    </row>
    <row r="335" spans="1:14">
      <c r="A335" s="43" t="s">
        <v>1250</v>
      </c>
      <c r="B335" s="43" t="s">
        <v>1386</v>
      </c>
      <c r="C335" s="43" t="s">
        <v>950</v>
      </c>
      <c r="D335" s="43" t="s">
        <v>1379</v>
      </c>
      <c r="E335" s="43" t="s">
        <v>393</v>
      </c>
      <c r="F335" s="43">
        <v>17</v>
      </c>
      <c r="G335" s="43">
        <v>15</v>
      </c>
      <c r="H335" s="43">
        <v>90</v>
      </c>
      <c r="K335" s="49">
        <f>計分版!D335</f>
        <v>1.9500000000000001E-9</v>
      </c>
      <c r="L335" s="43">
        <f>入學要求!S320</f>
        <v>0</v>
      </c>
    </row>
    <row r="336" spans="1:14">
      <c r="A336" s="43" t="s">
        <v>1252</v>
      </c>
      <c r="B336" s="43" t="s">
        <v>1386</v>
      </c>
      <c r="C336" s="43" t="s">
        <v>1253</v>
      </c>
      <c r="D336" s="43" t="s">
        <v>1379</v>
      </c>
      <c r="E336" s="43" t="s">
        <v>393</v>
      </c>
      <c r="F336" s="43">
        <v>17</v>
      </c>
      <c r="G336" s="43">
        <v>16</v>
      </c>
      <c r="H336" s="43">
        <v>30</v>
      </c>
      <c r="K336" s="49">
        <f>計分版!D336</f>
        <v>1.9500000000000001E-9</v>
      </c>
      <c r="L336" s="43">
        <f>入學要求!S321</f>
        <v>0</v>
      </c>
    </row>
    <row r="337" spans="1:12">
      <c r="A337" s="43" t="s">
        <v>1255</v>
      </c>
      <c r="B337" s="43" t="s">
        <v>1386</v>
      </c>
      <c r="C337" s="43" t="s">
        <v>1256</v>
      </c>
      <c r="D337" s="43" t="s">
        <v>1379</v>
      </c>
      <c r="E337" s="43" t="s">
        <v>393</v>
      </c>
      <c r="F337" s="43">
        <v>18</v>
      </c>
      <c r="G337" s="43">
        <v>16</v>
      </c>
      <c r="H337" s="43">
        <v>50</v>
      </c>
      <c r="K337" s="49">
        <f>計分版!D337</f>
        <v>1.9500000000000001E-9</v>
      </c>
      <c r="L337" s="43">
        <f>入學要求!S322</f>
        <v>0</v>
      </c>
    </row>
    <row r="338" spans="1:12">
      <c r="A338" s="43" t="s">
        <v>1258</v>
      </c>
      <c r="B338" s="43" t="s">
        <v>1386</v>
      </c>
      <c r="C338" s="43" t="s">
        <v>1259</v>
      </c>
      <c r="D338" s="43" t="s">
        <v>1379</v>
      </c>
      <c r="E338" s="43" t="s">
        <v>393</v>
      </c>
      <c r="F338" s="43">
        <v>16</v>
      </c>
      <c r="G338" s="43">
        <v>16</v>
      </c>
      <c r="H338" s="43">
        <v>30</v>
      </c>
      <c r="K338" s="49">
        <f>計分版!D338</f>
        <v>1.9500000000000001E-9</v>
      </c>
      <c r="L338" s="43">
        <f>入學要求!S323</f>
        <v>0</v>
      </c>
    </row>
    <row r="339" spans="1:12">
      <c r="A339" s="43" t="s">
        <v>1261</v>
      </c>
      <c r="B339" s="43" t="s">
        <v>1386</v>
      </c>
      <c r="C339" s="43" t="s">
        <v>1262</v>
      </c>
      <c r="D339" s="43" t="s">
        <v>1379</v>
      </c>
      <c r="E339" s="43" t="s">
        <v>393</v>
      </c>
      <c r="F339" s="43">
        <v>15</v>
      </c>
      <c r="G339" s="43">
        <v>15</v>
      </c>
      <c r="H339" s="43">
        <v>20</v>
      </c>
      <c r="K339" s="49">
        <f>計分版!D339</f>
        <v>1.9500000000000001E-9</v>
      </c>
      <c r="L339" s="43">
        <f>入學要求!S324</f>
        <v>0</v>
      </c>
    </row>
    <row r="340" spans="1:12">
      <c r="A340" s="43" t="s">
        <v>1264</v>
      </c>
      <c r="B340" s="43" t="s">
        <v>1386</v>
      </c>
      <c r="C340" s="43" t="s">
        <v>1265</v>
      </c>
      <c r="D340" s="43" t="s">
        <v>1379</v>
      </c>
      <c r="E340" s="43" t="s">
        <v>393</v>
      </c>
      <c r="F340" s="43" t="s">
        <v>899</v>
      </c>
      <c r="G340" s="43" t="s">
        <v>899</v>
      </c>
      <c r="H340" s="43">
        <v>30</v>
      </c>
      <c r="K340" s="49">
        <f>計分版!D340</f>
        <v>1.9500000000000001E-9</v>
      </c>
      <c r="L340" s="43">
        <f>入學要求!S325</f>
        <v>0</v>
      </c>
    </row>
    <row r="341" spans="1:12">
      <c r="A341" s="43" t="s">
        <v>1267</v>
      </c>
      <c r="B341" s="43" t="s">
        <v>1386</v>
      </c>
      <c r="C341" s="43" t="s">
        <v>1268</v>
      </c>
      <c r="D341" s="43" t="s">
        <v>1379</v>
      </c>
      <c r="E341" s="43" t="s">
        <v>393</v>
      </c>
      <c r="F341" s="43" t="s">
        <v>899</v>
      </c>
      <c r="G341" s="43" t="s">
        <v>899</v>
      </c>
      <c r="H341" s="43">
        <v>50</v>
      </c>
      <c r="K341" s="49">
        <f>計分版!D341</f>
        <v>1.9500000000000001E-9</v>
      </c>
      <c r="L341" s="43">
        <f>入學要求!S326</f>
        <v>0</v>
      </c>
    </row>
    <row r="342" spans="1:12">
      <c r="A342" s="43" t="s">
        <v>1270</v>
      </c>
      <c r="B342" s="43" t="s">
        <v>1386</v>
      </c>
      <c r="C342" s="43" t="s">
        <v>1271</v>
      </c>
      <c r="D342" s="43" t="s">
        <v>1379</v>
      </c>
      <c r="E342" s="43" t="s">
        <v>393</v>
      </c>
      <c r="F342" s="43">
        <v>22</v>
      </c>
      <c r="G342" s="43">
        <v>21</v>
      </c>
      <c r="H342" s="43">
        <v>40</v>
      </c>
      <c r="K342" s="49">
        <f>計分版!D342</f>
        <v>2.0500000000000002E-9</v>
      </c>
      <c r="L342" s="43">
        <f>入學要求!S327</f>
        <v>0</v>
      </c>
    </row>
    <row r="343" spans="1:12">
      <c r="A343" s="43" t="s">
        <v>1273</v>
      </c>
      <c r="B343" s="43" t="s">
        <v>1386</v>
      </c>
      <c r="C343" s="43" t="s">
        <v>1274</v>
      </c>
      <c r="D343" s="43" t="s">
        <v>1379</v>
      </c>
      <c r="E343" s="43" t="s">
        <v>393</v>
      </c>
      <c r="F343" s="43">
        <v>21</v>
      </c>
      <c r="G343" s="43">
        <v>18</v>
      </c>
      <c r="H343" s="43">
        <v>55</v>
      </c>
      <c r="K343" s="49">
        <f>計分版!D343</f>
        <v>2.0999999999999998E-9</v>
      </c>
      <c r="L343" s="43">
        <f>入學要求!S328</f>
        <v>0</v>
      </c>
    </row>
    <row r="344" spans="1:12">
      <c r="A344" s="43" t="s">
        <v>1276</v>
      </c>
      <c r="B344" s="43" t="s">
        <v>1386</v>
      </c>
      <c r="C344" s="43" t="s">
        <v>1277</v>
      </c>
      <c r="D344" s="43" t="s">
        <v>1379</v>
      </c>
      <c r="E344" s="43" t="s">
        <v>393</v>
      </c>
      <c r="F344" s="43">
        <v>21</v>
      </c>
      <c r="G344" s="43">
        <v>19</v>
      </c>
      <c r="H344" s="43">
        <v>70</v>
      </c>
      <c r="K344" s="49">
        <f>計分版!D344</f>
        <v>2.0999999999999998E-9</v>
      </c>
      <c r="L344" s="43">
        <f>入學要求!S329</f>
        <v>0</v>
      </c>
    </row>
    <row r="345" spans="1:12">
      <c r="A345" s="43" t="s">
        <v>1279</v>
      </c>
      <c r="B345" s="43" t="s">
        <v>1386</v>
      </c>
      <c r="C345" s="43" t="s">
        <v>1280</v>
      </c>
      <c r="D345" s="43" t="s">
        <v>1379</v>
      </c>
      <c r="E345" s="43" t="s">
        <v>393</v>
      </c>
      <c r="F345" s="43" t="s">
        <v>899</v>
      </c>
      <c r="G345" s="43" t="s">
        <v>899</v>
      </c>
      <c r="H345" s="43">
        <v>25</v>
      </c>
      <c r="K345" s="49">
        <f>計分版!D345</f>
        <v>1.9500000000000001E-9</v>
      </c>
      <c r="L345" s="43">
        <f>入學要求!S330</f>
        <v>0</v>
      </c>
    </row>
    <row r="346" spans="1:12">
      <c r="A346" s="43" t="s">
        <v>1282</v>
      </c>
      <c r="B346" s="43" t="s">
        <v>1386</v>
      </c>
      <c r="C346" s="43" t="s">
        <v>1283</v>
      </c>
      <c r="D346" s="43" t="s">
        <v>1379</v>
      </c>
      <c r="E346" s="43" t="s">
        <v>393</v>
      </c>
      <c r="F346" s="43">
        <v>18</v>
      </c>
      <c r="G346" s="43">
        <v>17</v>
      </c>
      <c r="H346" s="43">
        <v>76</v>
      </c>
      <c r="K346" s="49">
        <f>計分版!D346</f>
        <v>1.9500000000000001E-9</v>
      </c>
      <c r="L346" s="43">
        <f>入學要求!S331</f>
        <v>0</v>
      </c>
    </row>
    <row r="347" spans="1:12">
      <c r="A347" s="43" t="s">
        <v>1285</v>
      </c>
      <c r="B347" s="43" t="s">
        <v>1386</v>
      </c>
      <c r="C347" s="43" t="s">
        <v>1286</v>
      </c>
      <c r="D347" s="43" t="s">
        <v>1379</v>
      </c>
      <c r="E347" s="43" t="s">
        <v>393</v>
      </c>
      <c r="F347" s="43">
        <v>18</v>
      </c>
      <c r="G347" s="43">
        <v>18</v>
      </c>
      <c r="H347" s="43">
        <v>23</v>
      </c>
      <c r="K347" s="49">
        <f>計分版!D347</f>
        <v>1.9500000000000001E-9</v>
      </c>
      <c r="L347" s="43">
        <f>入學要求!S332</f>
        <v>0</v>
      </c>
    </row>
    <row r="348" spans="1:12">
      <c r="A348" s="43" t="s">
        <v>1288</v>
      </c>
      <c r="B348" s="43" t="s">
        <v>1386</v>
      </c>
      <c r="C348" s="43" t="s">
        <v>1289</v>
      </c>
      <c r="D348" s="43" t="s">
        <v>1379</v>
      </c>
      <c r="E348" s="43" t="s">
        <v>393</v>
      </c>
      <c r="F348" s="43">
        <v>16</v>
      </c>
      <c r="G348" s="43">
        <v>14</v>
      </c>
      <c r="H348" s="43">
        <v>60</v>
      </c>
      <c r="K348" s="49">
        <f>計分版!D348</f>
        <v>1.9500000000000001E-9</v>
      </c>
      <c r="L348" s="43">
        <f>入學要求!S333</f>
        <v>0</v>
      </c>
    </row>
    <row r="349" spans="1:12">
      <c r="A349" s="43" t="s">
        <v>1291</v>
      </c>
      <c r="B349" s="43" t="s">
        <v>1386</v>
      </c>
      <c r="C349" s="43" t="s">
        <v>1292</v>
      </c>
      <c r="D349" s="43" t="s">
        <v>1379</v>
      </c>
      <c r="E349" s="43" t="s">
        <v>393</v>
      </c>
      <c r="F349" s="43">
        <v>17</v>
      </c>
      <c r="G349" s="43">
        <v>17</v>
      </c>
      <c r="H349" s="43">
        <v>52</v>
      </c>
      <c r="K349" s="49">
        <f>計分版!D349</f>
        <v>1.9500000000000001E-9</v>
      </c>
      <c r="L349" s="43">
        <f>入學要求!S334</f>
        <v>0</v>
      </c>
    </row>
    <row r="350" spans="1:12">
      <c r="A350" s="43" t="s">
        <v>1294</v>
      </c>
      <c r="B350" s="43" t="s">
        <v>1386</v>
      </c>
      <c r="C350" s="43" t="s">
        <v>1295</v>
      </c>
      <c r="D350" s="43" t="s">
        <v>1379</v>
      </c>
      <c r="E350" s="43" t="s">
        <v>393</v>
      </c>
      <c r="F350" s="43">
        <v>15</v>
      </c>
      <c r="G350" s="43">
        <v>15</v>
      </c>
      <c r="H350" s="43">
        <v>12</v>
      </c>
      <c r="K350" s="49">
        <f>計分版!D350</f>
        <v>1.9500000000000001E-9</v>
      </c>
      <c r="L350" s="43">
        <f>入學要求!S335</f>
        <v>0</v>
      </c>
    </row>
    <row r="351" spans="1:12">
      <c r="A351" s="43" t="s">
        <v>1297</v>
      </c>
      <c r="B351" s="43" t="s">
        <v>1386</v>
      </c>
      <c r="C351" s="43" t="s">
        <v>1298</v>
      </c>
      <c r="D351" s="43" t="s">
        <v>1379</v>
      </c>
      <c r="E351" s="43" t="s">
        <v>393</v>
      </c>
      <c r="F351" s="43" t="s">
        <v>899</v>
      </c>
      <c r="G351" s="43" t="s">
        <v>899</v>
      </c>
      <c r="H351" s="43">
        <v>25</v>
      </c>
      <c r="K351" s="49">
        <f>計分版!D351</f>
        <v>1.9500000000000001E-9</v>
      </c>
      <c r="L351" s="43">
        <f>入學要求!S336</f>
        <v>0</v>
      </c>
    </row>
    <row r="352" spans="1:12">
      <c r="A352" s="43" t="s">
        <v>1300</v>
      </c>
      <c r="B352" s="43" t="s">
        <v>1386</v>
      </c>
      <c r="C352" s="43" t="s">
        <v>1301</v>
      </c>
      <c r="D352" s="43" t="s">
        <v>1379</v>
      </c>
      <c r="E352" s="43" t="s">
        <v>393</v>
      </c>
      <c r="F352" s="43" t="s">
        <v>899</v>
      </c>
      <c r="G352" s="43" t="s">
        <v>899</v>
      </c>
      <c r="H352" s="43">
        <v>25</v>
      </c>
      <c r="K352" s="49">
        <f>計分版!D352</f>
        <v>1.9500000000000001E-9</v>
      </c>
      <c r="L352" s="43">
        <f>入學要求!S337</f>
        <v>0</v>
      </c>
    </row>
    <row r="353" spans="1:12">
      <c r="A353" s="43" t="s">
        <v>1303</v>
      </c>
      <c r="B353" s="43" t="s">
        <v>1386</v>
      </c>
      <c r="C353" s="43" t="s">
        <v>1304</v>
      </c>
      <c r="D353" s="43" t="s">
        <v>1379</v>
      </c>
      <c r="E353" s="43" t="s">
        <v>393</v>
      </c>
      <c r="F353" s="43" t="s">
        <v>899</v>
      </c>
      <c r="G353" s="43" t="s">
        <v>899</v>
      </c>
      <c r="H353" s="43">
        <v>25</v>
      </c>
      <c r="K353" s="49">
        <f>計分版!D353</f>
        <v>1.9500000000000001E-9</v>
      </c>
      <c r="L353" s="43">
        <f>入學要求!S338</f>
        <v>0</v>
      </c>
    </row>
    <row r="354" spans="1:12">
      <c r="A354" s="43" t="s">
        <v>1306</v>
      </c>
      <c r="B354" s="43" t="s">
        <v>1386</v>
      </c>
      <c r="C354" s="43" t="s">
        <v>1307</v>
      </c>
      <c r="D354" s="43" t="s">
        <v>1379</v>
      </c>
      <c r="E354" s="43" t="s">
        <v>393</v>
      </c>
      <c r="F354" s="43">
        <v>16</v>
      </c>
      <c r="G354" s="43">
        <v>16</v>
      </c>
      <c r="H354" s="43">
        <v>30</v>
      </c>
      <c r="K354" s="49">
        <f>計分版!D354</f>
        <v>1.9500000000000001E-9</v>
      </c>
      <c r="L354" s="43">
        <f>入學要求!S339</f>
        <v>0</v>
      </c>
    </row>
    <row r="355" spans="1:12">
      <c r="A355" s="43" t="s">
        <v>1309</v>
      </c>
      <c r="B355" s="43" t="s">
        <v>1386</v>
      </c>
      <c r="C355" s="43" t="s">
        <v>1310</v>
      </c>
      <c r="D355" s="43" t="s">
        <v>1379</v>
      </c>
      <c r="E355" s="43" t="s">
        <v>393</v>
      </c>
      <c r="F355" s="43">
        <v>15</v>
      </c>
      <c r="G355" s="43">
        <v>14</v>
      </c>
      <c r="H355" s="43">
        <v>20</v>
      </c>
      <c r="K355" s="49">
        <f>計分版!D355</f>
        <v>1.9500000000000001E-9</v>
      </c>
      <c r="L355" s="43">
        <f>入學要求!S340</f>
        <v>0</v>
      </c>
    </row>
    <row r="356" spans="1:12">
      <c r="A356" s="43" t="s">
        <v>1312</v>
      </c>
      <c r="B356" s="43" t="s">
        <v>1386</v>
      </c>
      <c r="C356" s="43" t="s">
        <v>1313</v>
      </c>
      <c r="D356" s="43" t="s">
        <v>1379</v>
      </c>
      <c r="E356" s="43" t="s">
        <v>393</v>
      </c>
      <c r="F356" s="43">
        <v>17</v>
      </c>
      <c r="G356" s="43">
        <v>16</v>
      </c>
      <c r="H356" s="43">
        <v>20</v>
      </c>
      <c r="K356" s="49">
        <f>計分版!D356</f>
        <v>1.9500000000000001E-9</v>
      </c>
      <c r="L356" s="43">
        <f>入學要求!S341</f>
        <v>0</v>
      </c>
    </row>
    <row r="357" spans="1:12">
      <c r="A357" s="43" t="s">
        <v>1315</v>
      </c>
      <c r="B357" s="43" t="s">
        <v>1386</v>
      </c>
      <c r="C357" s="43" t="s">
        <v>1316</v>
      </c>
      <c r="D357" s="43" t="s">
        <v>214</v>
      </c>
      <c r="E357" s="43" t="s">
        <v>393</v>
      </c>
      <c r="F357" s="43">
        <v>20</v>
      </c>
      <c r="G357" s="43">
        <v>20</v>
      </c>
      <c r="H357" s="43">
        <v>30</v>
      </c>
      <c r="K357" s="49">
        <f>計分版!D357</f>
        <v>3.9500000000000006E-9</v>
      </c>
      <c r="L357" s="43">
        <f>入學要求!S342</f>
        <v>0</v>
      </c>
    </row>
    <row r="358" spans="1:12">
      <c r="A358" s="43" t="s">
        <v>1318</v>
      </c>
      <c r="B358" s="43" t="s">
        <v>1386</v>
      </c>
      <c r="C358" s="43" t="s">
        <v>1319</v>
      </c>
      <c r="D358" s="43" t="s">
        <v>214</v>
      </c>
      <c r="E358" s="43" t="s">
        <v>393</v>
      </c>
      <c r="F358" s="43">
        <v>19</v>
      </c>
      <c r="G358" s="43">
        <v>19</v>
      </c>
      <c r="H358" s="43">
        <v>30</v>
      </c>
      <c r="K358" s="49">
        <f>計分版!D358</f>
        <v>3.9500000000000006E-9</v>
      </c>
      <c r="L358" s="43">
        <f>入學要求!S343</f>
        <v>0</v>
      </c>
    </row>
    <row r="359" spans="1:12">
      <c r="A359" s="43" t="s">
        <v>1321</v>
      </c>
      <c r="B359" s="43" t="s">
        <v>1386</v>
      </c>
      <c r="C359" s="43" t="s">
        <v>1322</v>
      </c>
      <c r="D359" s="43" t="s">
        <v>214</v>
      </c>
      <c r="E359" s="43" t="s">
        <v>393</v>
      </c>
      <c r="F359" s="43">
        <v>23</v>
      </c>
      <c r="G359" s="43">
        <v>23</v>
      </c>
      <c r="H359" s="43">
        <v>20</v>
      </c>
      <c r="K359" s="49">
        <f>計分版!D359</f>
        <v>3.9500000000000006E-9</v>
      </c>
      <c r="L359" s="43">
        <f>入學要求!S344</f>
        <v>0</v>
      </c>
    </row>
    <row r="360" spans="1:12">
      <c r="A360" s="43" t="s">
        <v>1324</v>
      </c>
      <c r="B360" s="43" t="s">
        <v>1386</v>
      </c>
      <c r="C360" s="43" t="s">
        <v>1325</v>
      </c>
      <c r="D360" s="43" t="s">
        <v>214</v>
      </c>
      <c r="E360" s="43" t="s">
        <v>393</v>
      </c>
      <c r="F360" s="43">
        <v>20</v>
      </c>
      <c r="G360" s="43">
        <v>19</v>
      </c>
      <c r="H360" s="43">
        <v>35</v>
      </c>
      <c r="K360" s="49">
        <f>計分版!D360</f>
        <v>3.9500000000000006E-9</v>
      </c>
      <c r="L360" s="43">
        <f>入學要求!S345</f>
        <v>0</v>
      </c>
    </row>
    <row r="361" spans="1:12">
      <c r="A361" s="43" t="s">
        <v>1327</v>
      </c>
      <c r="B361" s="43" t="s">
        <v>1386</v>
      </c>
      <c r="C361" s="43" t="s">
        <v>1328</v>
      </c>
      <c r="D361" s="43" t="s">
        <v>214</v>
      </c>
      <c r="E361" s="43" t="s">
        <v>393</v>
      </c>
      <c r="F361" s="43">
        <v>16</v>
      </c>
      <c r="G361" s="43">
        <v>15</v>
      </c>
      <c r="H361" s="43">
        <v>40</v>
      </c>
      <c r="K361" s="49">
        <f>計分版!D361</f>
        <v>3.9500000000000006E-9</v>
      </c>
      <c r="L361" s="43">
        <f>入學要求!S346</f>
        <v>0</v>
      </c>
    </row>
    <row r="362" spans="1:12">
      <c r="A362" s="43" t="s">
        <v>1330</v>
      </c>
      <c r="B362" s="43" t="s">
        <v>1386</v>
      </c>
      <c r="C362" s="43" t="s">
        <v>1331</v>
      </c>
      <c r="D362" s="43" t="s">
        <v>214</v>
      </c>
      <c r="E362" s="43" t="s">
        <v>393</v>
      </c>
      <c r="F362" s="43">
        <v>16</v>
      </c>
      <c r="G362" s="43">
        <v>15</v>
      </c>
      <c r="H362" s="43">
        <v>40</v>
      </c>
      <c r="K362" s="49">
        <f>計分版!D362</f>
        <v>3.9500000000000006E-9</v>
      </c>
      <c r="L362" s="43">
        <f>入學要求!S347</f>
        <v>0</v>
      </c>
    </row>
    <row r="363" spans="1:12">
      <c r="A363" s="43" t="s">
        <v>1333</v>
      </c>
      <c r="B363" s="43" t="s">
        <v>1386</v>
      </c>
      <c r="C363" s="43" t="s">
        <v>1334</v>
      </c>
      <c r="D363" s="43" t="s">
        <v>1379</v>
      </c>
      <c r="E363" s="43" t="s">
        <v>393</v>
      </c>
      <c r="F363" s="43">
        <v>16</v>
      </c>
      <c r="G363" s="43">
        <v>16</v>
      </c>
      <c r="H363" s="43">
        <v>35</v>
      </c>
      <c r="K363" s="49">
        <f>計分版!D363</f>
        <v>1.9500000000000001E-9</v>
      </c>
      <c r="L363" s="43">
        <f>入學要求!S348</f>
        <v>0</v>
      </c>
    </row>
    <row r="364" spans="1:12">
      <c r="A364" s="43" t="s">
        <v>1336</v>
      </c>
      <c r="B364" s="43" t="s">
        <v>1386</v>
      </c>
      <c r="C364" s="43" t="s">
        <v>1337</v>
      </c>
      <c r="D364" s="43" t="s">
        <v>1379</v>
      </c>
      <c r="E364" s="43" t="s">
        <v>393</v>
      </c>
      <c r="F364" s="43" t="s">
        <v>899</v>
      </c>
      <c r="G364" s="43" t="s">
        <v>899</v>
      </c>
      <c r="H364" s="43">
        <v>35</v>
      </c>
      <c r="K364" s="49">
        <f>計分版!D364</f>
        <v>1.9500000000000001E-9</v>
      </c>
      <c r="L364" s="43">
        <f>入學要求!S349</f>
        <v>0</v>
      </c>
    </row>
    <row r="365" spans="1:12">
      <c r="A365" s="43" t="s">
        <v>1339</v>
      </c>
      <c r="B365" s="43" t="s">
        <v>1386</v>
      </c>
      <c r="C365" s="43" t="s">
        <v>1340</v>
      </c>
      <c r="D365" s="43" t="s">
        <v>1379</v>
      </c>
      <c r="E365" s="43" t="s">
        <v>393</v>
      </c>
      <c r="F365" s="43" t="s">
        <v>899</v>
      </c>
      <c r="G365" s="43" t="s">
        <v>899</v>
      </c>
      <c r="H365" s="43">
        <v>30</v>
      </c>
      <c r="K365" s="49">
        <f>計分版!D365</f>
        <v>1.9500000000000001E-9</v>
      </c>
      <c r="L365" s="43">
        <f>入學要求!S350</f>
        <v>0</v>
      </c>
    </row>
    <row r="366" spans="1:12">
      <c r="A366" s="43" t="s">
        <v>1342</v>
      </c>
      <c r="B366" s="43" t="s">
        <v>1386</v>
      </c>
      <c r="C366" s="43" t="s">
        <v>1343</v>
      </c>
      <c r="D366" s="43" t="s">
        <v>1379</v>
      </c>
      <c r="E366" s="43" t="s">
        <v>393</v>
      </c>
      <c r="F366" s="43" t="s">
        <v>899</v>
      </c>
      <c r="G366" s="43" t="s">
        <v>899</v>
      </c>
      <c r="H366" s="43">
        <v>30</v>
      </c>
      <c r="K366" s="49">
        <f>計分版!D366</f>
        <v>1.9500000000000001E-9</v>
      </c>
      <c r="L366" s="43">
        <f>入學要求!S351</f>
        <v>0</v>
      </c>
    </row>
    <row r="367" spans="1:12">
      <c r="A367" s="43" t="s">
        <v>1345</v>
      </c>
      <c r="B367" s="43" t="s">
        <v>1386</v>
      </c>
      <c r="C367" s="43" t="s">
        <v>1346</v>
      </c>
      <c r="D367" s="43" t="s">
        <v>1379</v>
      </c>
      <c r="E367" s="43" t="s">
        <v>393</v>
      </c>
      <c r="F367" s="43" t="s">
        <v>899</v>
      </c>
      <c r="G367" s="43" t="s">
        <v>899</v>
      </c>
      <c r="H367" s="43">
        <v>25</v>
      </c>
      <c r="K367" s="49">
        <f>計分版!D367</f>
        <v>1.9500000000000001E-9</v>
      </c>
      <c r="L367" s="43">
        <f>入學要求!S352</f>
        <v>0</v>
      </c>
    </row>
    <row r="368" spans="1:12">
      <c r="A368" s="43" t="s">
        <v>1348</v>
      </c>
      <c r="B368" s="43" t="s">
        <v>1386</v>
      </c>
      <c r="C368" s="43" t="s">
        <v>1349</v>
      </c>
      <c r="D368" s="43" t="s">
        <v>1379</v>
      </c>
      <c r="E368" s="43" t="s">
        <v>393</v>
      </c>
      <c r="F368" s="43" t="s">
        <v>899</v>
      </c>
      <c r="G368" s="43" t="s">
        <v>899</v>
      </c>
      <c r="H368" s="43">
        <v>40</v>
      </c>
      <c r="K368" s="49">
        <f>計分版!D368</f>
        <v>2.2500000000000003E-9</v>
      </c>
      <c r="L368" s="43">
        <f>入學要求!S353</f>
        <v>0</v>
      </c>
    </row>
    <row r="369" spans="1:12">
      <c r="K369" s="49" t="str">
        <f>計分版!D370</f>
        <v>總分</v>
      </c>
    </row>
    <row r="370" spans="1:12">
      <c r="A370" s="43" t="s">
        <v>1391</v>
      </c>
      <c r="B370" s="43" t="s">
        <v>1490</v>
      </c>
      <c r="C370" s="162" t="s">
        <v>1491</v>
      </c>
      <c r="D370" s="43" t="s">
        <v>1379</v>
      </c>
      <c r="E370" s="43" t="s">
        <v>393</v>
      </c>
      <c r="F370" s="43">
        <v>16.55</v>
      </c>
      <c r="G370" s="43" t="s">
        <v>393</v>
      </c>
      <c r="H370" s="43">
        <v>360</v>
      </c>
      <c r="K370" s="49">
        <f>計分版!D371</f>
        <v>1.9000000000000001E-9</v>
      </c>
      <c r="L370" s="43">
        <f>入學要求!S356</f>
        <v>0</v>
      </c>
    </row>
    <row r="371" spans="1:12">
      <c r="A371" s="43" t="s">
        <v>1393</v>
      </c>
      <c r="B371" s="43" t="s">
        <v>1490</v>
      </c>
      <c r="C371" s="162" t="s">
        <v>1492</v>
      </c>
      <c r="D371" s="43" t="s">
        <v>1379</v>
      </c>
      <c r="E371" s="43" t="s">
        <v>393</v>
      </c>
      <c r="F371" s="43">
        <v>15</v>
      </c>
      <c r="G371" s="43" t="s">
        <v>393</v>
      </c>
      <c r="H371" s="43">
        <v>30</v>
      </c>
      <c r="K371" s="49">
        <f>計分版!D372</f>
        <v>1.9000000000000001E-9</v>
      </c>
      <c r="L371" s="43">
        <f>入學要求!S357</f>
        <v>0</v>
      </c>
    </row>
    <row r="372" spans="1:12">
      <c r="A372" s="43" t="s">
        <v>1395</v>
      </c>
      <c r="B372" s="43" t="s">
        <v>1396</v>
      </c>
      <c r="C372" s="162" t="s">
        <v>1493</v>
      </c>
      <c r="D372" s="43" t="s">
        <v>1379</v>
      </c>
      <c r="E372" s="43">
        <v>19</v>
      </c>
      <c r="F372" s="43" t="s">
        <v>393</v>
      </c>
      <c r="G372" s="43">
        <v>15</v>
      </c>
      <c r="H372" s="43">
        <v>60</v>
      </c>
      <c r="K372" s="49">
        <f>計分版!D373</f>
        <v>1.9500000000000001E-9</v>
      </c>
      <c r="L372" s="43">
        <f>入學要求!S358</f>
        <v>0</v>
      </c>
    </row>
    <row r="373" spans="1:12">
      <c r="A373" s="43" t="s">
        <v>1398</v>
      </c>
      <c r="B373" s="43" t="s">
        <v>1396</v>
      </c>
      <c r="C373" s="162" t="s">
        <v>1494</v>
      </c>
      <c r="D373" s="43" t="s">
        <v>1379</v>
      </c>
      <c r="E373" s="43">
        <v>18</v>
      </c>
      <c r="F373" s="43" t="s">
        <v>393</v>
      </c>
      <c r="G373" s="43">
        <v>15</v>
      </c>
      <c r="H373" s="43">
        <v>30</v>
      </c>
      <c r="K373" s="49">
        <f>計分版!D374</f>
        <v>1.9500000000000001E-9</v>
      </c>
      <c r="L373" s="43">
        <f>入學要求!S359</f>
        <v>0</v>
      </c>
    </row>
    <row r="374" spans="1:12">
      <c r="A374" s="43" t="s">
        <v>1400</v>
      </c>
      <c r="B374" s="43" t="s">
        <v>1396</v>
      </c>
      <c r="C374" s="162" t="s">
        <v>1495</v>
      </c>
      <c r="D374" s="43" t="s">
        <v>1379</v>
      </c>
      <c r="E374" s="43">
        <v>19</v>
      </c>
      <c r="F374" s="43" t="s">
        <v>393</v>
      </c>
      <c r="G374" s="43">
        <v>12</v>
      </c>
      <c r="H374" s="43">
        <v>30</v>
      </c>
      <c r="K374" s="49">
        <f>計分版!D375</f>
        <v>1.9500000000000001E-9</v>
      </c>
      <c r="L374" s="43">
        <f>入學要求!S360</f>
        <v>0</v>
      </c>
    </row>
    <row r="375" spans="1:12">
      <c r="A375" s="43" t="s">
        <v>1402</v>
      </c>
      <c r="B375" s="43" t="s">
        <v>1496</v>
      </c>
      <c r="C375" s="162" t="s">
        <v>1497</v>
      </c>
      <c r="D375" s="43" t="s">
        <v>1379</v>
      </c>
      <c r="E375" s="43" t="s">
        <v>393</v>
      </c>
      <c r="F375" s="43">
        <v>17.46</v>
      </c>
      <c r="G375" s="43" t="s">
        <v>393</v>
      </c>
      <c r="H375" s="43">
        <v>105</v>
      </c>
      <c r="K375" s="49">
        <f>計分版!D376</f>
        <v>1.9000000000000001E-9</v>
      </c>
      <c r="L375" s="43">
        <f>入學要求!S361</f>
        <v>0</v>
      </c>
    </row>
    <row r="376" spans="1:12">
      <c r="A376" s="43" t="s">
        <v>1404</v>
      </c>
      <c r="B376" s="43" t="s">
        <v>1496</v>
      </c>
      <c r="C376" s="162" t="s">
        <v>1498</v>
      </c>
      <c r="D376" s="43" t="s">
        <v>1379</v>
      </c>
      <c r="E376" s="43" t="s">
        <v>393</v>
      </c>
      <c r="F376" s="43">
        <v>17.100000000000001</v>
      </c>
      <c r="G376" s="43" t="s">
        <v>393</v>
      </c>
      <c r="H376" s="43">
        <v>35</v>
      </c>
      <c r="K376" s="49">
        <f>計分版!D377</f>
        <v>1.9000000000000001E-9</v>
      </c>
      <c r="L376" s="43">
        <f>入學要求!S362</f>
        <v>0</v>
      </c>
    </row>
    <row r="377" spans="1:12">
      <c r="A377" s="43" t="s">
        <v>1406</v>
      </c>
      <c r="B377" s="43" t="s">
        <v>1496</v>
      </c>
      <c r="C377" s="162" t="s">
        <v>1499</v>
      </c>
      <c r="D377" s="43" t="s">
        <v>1379</v>
      </c>
      <c r="E377" s="43" t="s">
        <v>393</v>
      </c>
      <c r="F377" s="43">
        <v>16.420000000000002</v>
      </c>
      <c r="G377" s="43" t="s">
        <v>393</v>
      </c>
      <c r="H377" s="43">
        <v>60</v>
      </c>
      <c r="K377" s="49">
        <f>計分版!D378</f>
        <v>1.9000000000000001E-9</v>
      </c>
      <c r="L377" s="43">
        <f>入學要求!S363</f>
        <v>0</v>
      </c>
    </row>
    <row r="378" spans="1:12">
      <c r="A378" s="43" t="s">
        <v>1408</v>
      </c>
      <c r="B378" s="43" t="s">
        <v>1496</v>
      </c>
      <c r="C378" s="162" t="s">
        <v>1500</v>
      </c>
      <c r="D378" s="43" t="s">
        <v>1379</v>
      </c>
      <c r="E378" s="43" t="s">
        <v>393</v>
      </c>
      <c r="F378" s="43">
        <v>16.690000000000001</v>
      </c>
      <c r="G378" s="43" t="s">
        <v>393</v>
      </c>
      <c r="H378" s="43">
        <v>70</v>
      </c>
      <c r="K378" s="49">
        <f>計分版!D379</f>
        <v>1.9000000000000001E-9</v>
      </c>
      <c r="L378" s="43">
        <f>入學要求!S364</f>
        <v>0</v>
      </c>
    </row>
    <row r="379" spans="1:12">
      <c r="A379" s="43" t="s">
        <v>1410</v>
      </c>
      <c r="B379" s="43" t="s">
        <v>1496</v>
      </c>
      <c r="C379" s="162" t="s">
        <v>1501</v>
      </c>
      <c r="D379" s="43" t="s">
        <v>1379</v>
      </c>
      <c r="E379" s="43" t="s">
        <v>393</v>
      </c>
      <c r="F379" s="43">
        <v>16.8</v>
      </c>
      <c r="G379" s="43" t="s">
        <v>393</v>
      </c>
      <c r="H379" s="43">
        <v>65</v>
      </c>
      <c r="K379" s="49">
        <f>計分版!D380</f>
        <v>1.9000000000000001E-9</v>
      </c>
      <c r="L379" s="43">
        <f>入學要求!S365</f>
        <v>0</v>
      </c>
    </row>
    <row r="380" spans="1:12">
      <c r="A380" s="43" t="s">
        <v>1412</v>
      </c>
      <c r="B380" s="43" t="s">
        <v>1413</v>
      </c>
      <c r="C380" s="162" t="s">
        <v>1502</v>
      </c>
      <c r="D380" s="43" t="s">
        <v>1379</v>
      </c>
      <c r="E380" s="43" t="s">
        <v>393</v>
      </c>
      <c r="F380" s="43">
        <v>18.73</v>
      </c>
      <c r="G380" s="43" t="s">
        <v>393</v>
      </c>
      <c r="H380" s="43">
        <v>350</v>
      </c>
      <c r="K380" s="49">
        <f>計分版!D381</f>
        <v>1.9000000000000001E-9</v>
      </c>
      <c r="L380" s="43">
        <f>入學要求!S366</f>
        <v>0</v>
      </c>
    </row>
    <row r="381" spans="1:12">
      <c r="A381" s="43" t="s">
        <v>1415</v>
      </c>
      <c r="B381" s="43" t="s">
        <v>1413</v>
      </c>
      <c r="C381" s="162" t="s">
        <v>1503</v>
      </c>
      <c r="D381" s="43" t="s">
        <v>1379</v>
      </c>
      <c r="E381" s="43" t="s">
        <v>393</v>
      </c>
      <c r="F381" s="43">
        <v>21</v>
      </c>
      <c r="G381" s="43" t="s">
        <v>393</v>
      </c>
      <c r="H381" s="43">
        <v>45</v>
      </c>
      <c r="K381" s="49">
        <f>計分版!D382</f>
        <v>1.9000000000000001E-9</v>
      </c>
      <c r="L381" s="43">
        <f>入學要求!S367</f>
        <v>0</v>
      </c>
    </row>
    <row r="382" spans="1:12">
      <c r="A382" s="43" t="s">
        <v>1417</v>
      </c>
      <c r="B382" s="43" t="s">
        <v>1413</v>
      </c>
      <c r="C382" s="162" t="s">
        <v>1504</v>
      </c>
      <c r="D382" s="43" t="s">
        <v>1379</v>
      </c>
      <c r="E382" s="43" t="s">
        <v>393</v>
      </c>
      <c r="F382" s="43">
        <v>22.8</v>
      </c>
      <c r="G382" s="43" t="s">
        <v>393</v>
      </c>
      <c r="H382" s="43">
        <v>15</v>
      </c>
      <c r="K382" s="49">
        <f>計分版!D383</f>
        <v>1.9000000000000001E-9</v>
      </c>
      <c r="L382" s="43">
        <f>入學要求!S368</f>
        <v>0</v>
      </c>
    </row>
    <row r="383" spans="1:12">
      <c r="A383" s="43" t="s">
        <v>1419</v>
      </c>
      <c r="B383" s="43" t="s">
        <v>1413</v>
      </c>
      <c r="C383" s="162" t="s">
        <v>1505</v>
      </c>
      <c r="D383" s="43" t="s">
        <v>1379</v>
      </c>
      <c r="E383" s="43" t="s">
        <v>393</v>
      </c>
      <c r="F383" s="43">
        <v>21.56</v>
      </c>
      <c r="G383" s="43" t="s">
        <v>393</v>
      </c>
      <c r="H383" s="43">
        <v>50</v>
      </c>
      <c r="K383" s="49">
        <f>計分版!D384</f>
        <v>1.9000000000000001E-9</v>
      </c>
      <c r="L383" s="43">
        <f>入學要求!S369</f>
        <v>0</v>
      </c>
    </row>
    <row r="384" spans="1:12">
      <c r="A384" s="43" t="s">
        <v>1421</v>
      </c>
      <c r="B384" s="43" t="s">
        <v>1413</v>
      </c>
      <c r="C384" s="162" t="s">
        <v>1506</v>
      </c>
      <c r="D384" s="43" t="s">
        <v>1379</v>
      </c>
      <c r="E384" s="43" t="s">
        <v>393</v>
      </c>
      <c r="F384" s="43">
        <v>23.02</v>
      </c>
      <c r="G384" s="43" t="s">
        <v>393</v>
      </c>
      <c r="H384" s="43">
        <v>50</v>
      </c>
      <c r="K384" s="49">
        <f>計分版!D385</f>
        <v>1.9000000000000001E-9</v>
      </c>
      <c r="L384" s="43">
        <f>入學要求!S370</f>
        <v>0</v>
      </c>
    </row>
    <row r="385" spans="1:12">
      <c r="A385" s="43" t="s">
        <v>1423</v>
      </c>
      <c r="B385" s="43" t="s">
        <v>1424</v>
      </c>
      <c r="C385" s="162" t="s">
        <v>1425</v>
      </c>
      <c r="D385" s="43" t="s">
        <v>1379</v>
      </c>
      <c r="E385" s="43" t="s">
        <v>393</v>
      </c>
      <c r="F385" s="43">
        <v>20</v>
      </c>
      <c r="G385" s="43">
        <v>19</v>
      </c>
      <c r="H385" s="43">
        <v>80</v>
      </c>
      <c r="K385" s="49">
        <f>計分版!D386</f>
        <v>2.0999999999999998E-9</v>
      </c>
      <c r="L385" s="43">
        <f>入學要求!S371</f>
        <v>0</v>
      </c>
    </row>
    <row r="386" spans="1:12">
      <c r="A386" s="43" t="s">
        <v>1427</v>
      </c>
      <c r="B386" s="43" t="s">
        <v>1424</v>
      </c>
      <c r="C386" s="162" t="s">
        <v>1428</v>
      </c>
      <c r="D386" s="43" t="s">
        <v>1379</v>
      </c>
      <c r="E386" s="43" t="s">
        <v>393</v>
      </c>
      <c r="F386" s="43">
        <v>16</v>
      </c>
      <c r="G386" s="43">
        <v>16</v>
      </c>
      <c r="H386" s="43">
        <v>80</v>
      </c>
      <c r="K386" s="49">
        <f>計分版!D387</f>
        <v>1.9500000000000001E-9</v>
      </c>
      <c r="L386" s="43">
        <f>入學要求!S372</f>
        <v>0</v>
      </c>
    </row>
    <row r="387" spans="1:12">
      <c r="A387" s="43" t="s">
        <v>1430</v>
      </c>
      <c r="B387" s="43" t="s">
        <v>1424</v>
      </c>
      <c r="C387" s="162" t="s">
        <v>1431</v>
      </c>
      <c r="D387" s="43" t="s">
        <v>1379</v>
      </c>
      <c r="E387" s="43" t="s">
        <v>393</v>
      </c>
      <c r="F387" s="43">
        <v>20</v>
      </c>
      <c r="G387" s="43">
        <v>18</v>
      </c>
      <c r="H387" s="43">
        <v>80</v>
      </c>
      <c r="K387" s="49">
        <f>計分版!D388</f>
        <v>2.0999999999999998E-9</v>
      </c>
      <c r="L387" s="43">
        <f>入學要求!S373</f>
        <v>0</v>
      </c>
    </row>
    <row r="388" spans="1:12">
      <c r="A388" s="43" t="s">
        <v>1433</v>
      </c>
      <c r="B388" s="43" t="s">
        <v>1424</v>
      </c>
      <c r="C388" s="162" t="s">
        <v>1434</v>
      </c>
      <c r="D388" s="43" t="s">
        <v>1379</v>
      </c>
      <c r="E388" s="43" t="s">
        <v>393</v>
      </c>
      <c r="F388" s="43">
        <v>20</v>
      </c>
      <c r="G388" s="43">
        <v>19</v>
      </c>
      <c r="H388" s="43">
        <v>325</v>
      </c>
      <c r="K388" s="49">
        <f>計分版!D389</f>
        <v>1.9500000000000001E-9</v>
      </c>
      <c r="L388" s="43">
        <f>入學要求!S374</f>
        <v>0</v>
      </c>
    </row>
    <row r="389" spans="1:12">
      <c r="A389" s="43" t="s">
        <v>1436</v>
      </c>
      <c r="B389" s="43" t="s">
        <v>1424</v>
      </c>
      <c r="C389" s="162" t="s">
        <v>1437</v>
      </c>
      <c r="D389" s="43" t="s">
        <v>1379</v>
      </c>
      <c r="E389" s="43" t="s">
        <v>393</v>
      </c>
      <c r="F389" s="43">
        <v>18</v>
      </c>
      <c r="G389" s="43">
        <v>17</v>
      </c>
      <c r="H389" s="43">
        <v>125</v>
      </c>
      <c r="K389" s="49">
        <f>計分版!D390</f>
        <v>1.9500000000000001E-9</v>
      </c>
      <c r="L389" s="43">
        <f>入學要求!S375</f>
        <v>0</v>
      </c>
    </row>
    <row r="390" spans="1:12">
      <c r="A390" s="43" t="s">
        <v>1439</v>
      </c>
      <c r="B390" s="43" t="s">
        <v>1424</v>
      </c>
      <c r="C390" s="162" t="s">
        <v>1440</v>
      </c>
      <c r="D390" s="43" t="s">
        <v>1379</v>
      </c>
      <c r="E390" s="43" t="s">
        <v>393</v>
      </c>
      <c r="F390" s="43">
        <v>16</v>
      </c>
      <c r="G390" s="43">
        <v>16</v>
      </c>
      <c r="H390" s="43">
        <v>100</v>
      </c>
      <c r="K390" s="49">
        <f>計分版!D391</f>
        <v>1.9500000000000001E-9</v>
      </c>
      <c r="L390" s="43">
        <f>入學要求!S376</f>
        <v>0</v>
      </c>
    </row>
    <row r="391" spans="1:12">
      <c r="A391" s="43" t="s">
        <v>1442</v>
      </c>
      <c r="B391" s="43" t="s">
        <v>1424</v>
      </c>
      <c r="C391" s="162" t="s">
        <v>1443</v>
      </c>
      <c r="D391" s="43" t="s">
        <v>1379</v>
      </c>
      <c r="E391" s="43" t="s">
        <v>393</v>
      </c>
      <c r="F391" s="43">
        <v>17</v>
      </c>
      <c r="G391" s="43">
        <v>16</v>
      </c>
      <c r="H391" s="43">
        <v>30</v>
      </c>
      <c r="K391" s="49">
        <f>計分版!D392</f>
        <v>1.9500000000000001E-9</v>
      </c>
      <c r="L391" s="43">
        <f>入學要求!S377</f>
        <v>0</v>
      </c>
    </row>
    <row r="392" spans="1:12">
      <c r="A392" s="43" t="s">
        <v>1445</v>
      </c>
      <c r="B392" s="43" t="s">
        <v>1424</v>
      </c>
      <c r="C392" s="162" t="s">
        <v>1446</v>
      </c>
      <c r="D392" s="43" t="s">
        <v>214</v>
      </c>
      <c r="E392" s="43" t="s">
        <v>393</v>
      </c>
      <c r="F392" s="43">
        <v>17</v>
      </c>
      <c r="G392" s="43">
        <v>16</v>
      </c>
      <c r="H392" s="43">
        <v>60</v>
      </c>
      <c r="K392" s="49">
        <f>計分版!D393</f>
        <v>3.9500000000000006E-9</v>
      </c>
      <c r="L392" s="43">
        <f>入學要求!S378</f>
        <v>0</v>
      </c>
    </row>
    <row r="393" spans="1:12">
      <c r="A393" s="43" t="s">
        <v>1448</v>
      </c>
      <c r="B393" s="43" t="s">
        <v>1424</v>
      </c>
      <c r="C393" s="162" t="s">
        <v>1449</v>
      </c>
      <c r="D393" s="43" t="s">
        <v>214</v>
      </c>
      <c r="E393" s="43" t="s">
        <v>393</v>
      </c>
      <c r="F393" s="43">
        <v>17</v>
      </c>
      <c r="G393" s="43">
        <v>16</v>
      </c>
      <c r="H393" s="43">
        <v>80</v>
      </c>
      <c r="K393" s="49">
        <f>計分版!D394</f>
        <v>3.9500000000000006E-9</v>
      </c>
      <c r="L393" s="43">
        <f>入學要求!S379</f>
        <v>0</v>
      </c>
    </row>
    <row r="394" spans="1:12">
      <c r="A394" s="43" t="s">
        <v>1451</v>
      </c>
      <c r="B394" s="43" t="s">
        <v>1424</v>
      </c>
      <c r="C394" s="162" t="s">
        <v>1452</v>
      </c>
      <c r="D394" s="43" t="s">
        <v>214</v>
      </c>
      <c r="E394" s="43" t="s">
        <v>393</v>
      </c>
      <c r="F394" s="43">
        <v>17</v>
      </c>
      <c r="G394" s="43">
        <v>16</v>
      </c>
      <c r="H394" s="43">
        <v>40</v>
      </c>
      <c r="K394" s="49">
        <f>計分版!D395</f>
        <v>3.9500000000000006E-9</v>
      </c>
      <c r="L394" s="43">
        <f>入學要求!S380</f>
        <v>0</v>
      </c>
    </row>
    <row r="395" spans="1:12">
      <c r="A395" s="43" t="s">
        <v>1454</v>
      </c>
      <c r="B395" s="43" t="s">
        <v>1424</v>
      </c>
      <c r="C395" s="162" t="s">
        <v>1455</v>
      </c>
      <c r="D395" s="43" t="s">
        <v>214</v>
      </c>
      <c r="E395" s="43" t="s">
        <v>393</v>
      </c>
      <c r="F395" s="43">
        <v>16</v>
      </c>
      <c r="G395" s="43">
        <v>15</v>
      </c>
      <c r="H395" s="43">
        <v>80</v>
      </c>
      <c r="K395" s="49">
        <f>計分版!D396</f>
        <v>3.9500000000000006E-9</v>
      </c>
      <c r="L395" s="43">
        <f>入學要求!S381</f>
        <v>0</v>
      </c>
    </row>
    <row r="396" spans="1:12">
      <c r="A396" s="43" t="s">
        <v>1457</v>
      </c>
      <c r="B396" s="43" t="s">
        <v>1424</v>
      </c>
      <c r="C396" s="162" t="s">
        <v>1458</v>
      </c>
      <c r="D396" s="43" t="s">
        <v>214</v>
      </c>
      <c r="E396" s="43" t="s">
        <v>393</v>
      </c>
      <c r="F396" s="43">
        <v>17</v>
      </c>
      <c r="G396" s="43">
        <v>16</v>
      </c>
      <c r="H396" s="43">
        <v>50</v>
      </c>
      <c r="K396" s="49">
        <f>計分版!D397</f>
        <v>3.9500000000000006E-9</v>
      </c>
      <c r="L396" s="43">
        <f>入學要求!S382</f>
        <v>0</v>
      </c>
    </row>
    <row r="397" spans="1:12">
      <c r="A397" s="43" t="s">
        <v>1460</v>
      </c>
      <c r="B397" s="43" t="s">
        <v>1507</v>
      </c>
      <c r="C397" s="162" t="s">
        <v>1461</v>
      </c>
      <c r="D397" s="43" t="s">
        <v>214</v>
      </c>
      <c r="E397" s="43" t="s">
        <v>393</v>
      </c>
      <c r="F397" s="43">
        <v>17</v>
      </c>
      <c r="G397" s="43" t="s">
        <v>393</v>
      </c>
      <c r="H397" s="43">
        <v>60</v>
      </c>
      <c r="K397" s="49">
        <f>計分版!D398</f>
        <v>3.9500000000000006E-9</v>
      </c>
      <c r="L397" s="43">
        <f>入學要求!S383</f>
        <v>0</v>
      </c>
    </row>
    <row r="398" spans="1:12">
      <c r="A398" s="43" t="s">
        <v>1463</v>
      </c>
      <c r="B398" s="43" t="s">
        <v>1507</v>
      </c>
      <c r="C398" s="162" t="s">
        <v>1464</v>
      </c>
      <c r="D398" s="43" t="s">
        <v>1379</v>
      </c>
      <c r="E398" s="43" t="s">
        <v>393</v>
      </c>
      <c r="F398" s="43">
        <v>17</v>
      </c>
      <c r="G398" s="43" t="s">
        <v>393</v>
      </c>
      <c r="H398" s="43">
        <v>60</v>
      </c>
      <c r="K398" s="49">
        <f>計分版!D399</f>
        <v>1.9500000000000001E-9</v>
      </c>
      <c r="L398" s="43">
        <f>入學要求!S384</f>
        <v>0</v>
      </c>
    </row>
    <row r="399" spans="1:12">
      <c r="A399" s="43" t="s">
        <v>1466</v>
      </c>
      <c r="B399" s="43" t="s">
        <v>1507</v>
      </c>
      <c r="C399" s="162" t="s">
        <v>1467</v>
      </c>
      <c r="D399" s="43" t="s">
        <v>1379</v>
      </c>
      <c r="E399" s="43" t="s">
        <v>393</v>
      </c>
      <c r="F399" s="43">
        <v>17</v>
      </c>
      <c r="G399" s="43" t="s">
        <v>393</v>
      </c>
      <c r="H399" s="43">
        <v>45</v>
      </c>
      <c r="K399" s="49">
        <f>計分版!D400</f>
        <v>1.9500000000000001E-9</v>
      </c>
      <c r="L399" s="43">
        <f>入學要求!S385</f>
        <v>0</v>
      </c>
    </row>
    <row r="400" spans="1:12">
      <c r="A400" s="43" t="s">
        <v>1469</v>
      </c>
      <c r="B400" s="43" t="s">
        <v>1507</v>
      </c>
      <c r="C400" s="162" t="s">
        <v>1470</v>
      </c>
      <c r="D400" s="43" t="s">
        <v>1379</v>
      </c>
      <c r="E400" s="43" t="s">
        <v>393</v>
      </c>
      <c r="F400" s="43">
        <v>17</v>
      </c>
      <c r="G400" s="43" t="s">
        <v>393</v>
      </c>
      <c r="H400" s="43">
        <v>40</v>
      </c>
      <c r="K400" s="49">
        <f>計分版!D401</f>
        <v>1.9500000000000001E-9</v>
      </c>
      <c r="L400" s="43">
        <f>入學要求!S386</f>
        <v>0</v>
      </c>
    </row>
    <row r="401" spans="1:12">
      <c r="A401" s="43" t="s">
        <v>1472</v>
      </c>
      <c r="B401" s="43" t="s">
        <v>1507</v>
      </c>
      <c r="C401" s="162" t="s">
        <v>1473</v>
      </c>
      <c r="D401" s="43" t="s">
        <v>1379</v>
      </c>
      <c r="E401" s="43" t="s">
        <v>393</v>
      </c>
      <c r="F401" s="43">
        <v>17</v>
      </c>
      <c r="G401" s="43" t="s">
        <v>393</v>
      </c>
      <c r="H401" s="43">
        <v>90</v>
      </c>
      <c r="K401" s="49">
        <f>計分版!D402</f>
        <v>1.9500000000000001E-9</v>
      </c>
      <c r="L401" s="43">
        <f>入學要求!S387</f>
        <v>0</v>
      </c>
    </row>
    <row r="402" spans="1:12">
      <c r="A402" s="43" t="s">
        <v>1475</v>
      </c>
      <c r="B402" s="43" t="s">
        <v>1507</v>
      </c>
      <c r="C402" s="162" t="s">
        <v>1476</v>
      </c>
      <c r="D402" s="43" t="s">
        <v>1379</v>
      </c>
      <c r="E402" s="43" t="s">
        <v>393</v>
      </c>
      <c r="F402" s="43">
        <v>17</v>
      </c>
      <c r="G402" s="43" t="s">
        <v>393</v>
      </c>
      <c r="H402" s="43">
        <v>60</v>
      </c>
      <c r="K402" s="49">
        <f>計分版!D403</f>
        <v>1.9500000000000001E-9</v>
      </c>
      <c r="L402" s="43">
        <f>入學要求!S388</f>
        <v>0</v>
      </c>
    </row>
    <row r="403" spans="1:12">
      <c r="A403" s="43" t="s">
        <v>1478</v>
      </c>
      <c r="B403" s="43" t="s">
        <v>1507</v>
      </c>
      <c r="C403" s="162" t="s">
        <v>1479</v>
      </c>
      <c r="D403" s="43" t="s">
        <v>1379</v>
      </c>
      <c r="E403" s="43" t="s">
        <v>393</v>
      </c>
      <c r="F403" s="43">
        <v>17</v>
      </c>
      <c r="G403" s="43" t="s">
        <v>393</v>
      </c>
      <c r="H403" s="43">
        <v>60</v>
      </c>
      <c r="K403" s="49">
        <f>計分版!D404</f>
        <v>1.9500000000000001E-9</v>
      </c>
      <c r="L403" s="43">
        <f>入學要求!S389</f>
        <v>0</v>
      </c>
    </row>
    <row r="404" spans="1:12">
      <c r="A404" s="43" t="s">
        <v>1481</v>
      </c>
      <c r="B404" s="43" t="s">
        <v>1507</v>
      </c>
      <c r="C404" s="162" t="s">
        <v>1482</v>
      </c>
      <c r="D404" s="43" t="s">
        <v>1379</v>
      </c>
      <c r="E404" s="43" t="s">
        <v>393</v>
      </c>
      <c r="F404" s="43">
        <v>17</v>
      </c>
      <c r="G404" s="43" t="s">
        <v>393</v>
      </c>
      <c r="H404" s="43">
        <v>60</v>
      </c>
      <c r="K404" s="49">
        <f>計分版!D405</f>
        <v>1.9500000000000001E-9</v>
      </c>
      <c r="L404" s="43">
        <f>入學要求!S390</f>
        <v>0</v>
      </c>
    </row>
    <row r="405" spans="1:12">
      <c r="A405" s="43" t="s">
        <v>1484</v>
      </c>
      <c r="B405" s="43" t="s">
        <v>1507</v>
      </c>
      <c r="C405" s="162" t="s">
        <v>1485</v>
      </c>
      <c r="D405" s="43" t="s">
        <v>1379</v>
      </c>
      <c r="E405" s="43" t="s">
        <v>393</v>
      </c>
      <c r="F405" s="43">
        <v>17</v>
      </c>
      <c r="G405" s="43" t="s">
        <v>393</v>
      </c>
      <c r="H405" s="43">
        <v>30</v>
      </c>
      <c r="K405" s="49">
        <f>計分版!D406</f>
        <v>1.9500000000000001E-9</v>
      </c>
      <c r="L405" s="43">
        <f>入學要求!S391</f>
        <v>0</v>
      </c>
    </row>
    <row r="406" spans="1:12">
      <c r="A406" s="43" t="s">
        <v>1487</v>
      </c>
      <c r="B406" s="43" t="s">
        <v>1507</v>
      </c>
      <c r="C406" s="162" t="s">
        <v>1488</v>
      </c>
      <c r="D406" s="43" t="s">
        <v>1379</v>
      </c>
      <c r="E406" s="43" t="s">
        <v>393</v>
      </c>
      <c r="F406" s="43">
        <v>17</v>
      </c>
      <c r="G406" s="43" t="s">
        <v>393</v>
      </c>
      <c r="H406" s="43">
        <v>66</v>
      </c>
      <c r="K406" s="49">
        <f>計分版!D407</f>
        <v>1.9500000000000001E-9</v>
      </c>
      <c r="L406" s="43">
        <f>入學要求!S392</f>
        <v>0</v>
      </c>
    </row>
  </sheetData>
  <phoneticPr fontId="2" type="noConversion"/>
  <conditionalFormatting sqref="L1:L1048576">
    <cfRule type="cellIs" dxfId="706" priority="1" operator="equal">
      <formula>2</formula>
    </cfRule>
    <cfRule type="cellIs" dxfId="705" priority="2" operator="equal">
      <formula>1</formula>
    </cfRule>
    <cfRule type="cellIs" dxfId="704" priority="3" operator="equal">
      <formula>0</formula>
    </cfRule>
  </conditionalFormatting>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D38A-6CD1-49E9-98CF-4D4D3AA1EED7}">
  <dimension ref="A1:Z392"/>
  <sheetViews>
    <sheetView topLeftCell="A194" zoomScale="115" zoomScaleNormal="115" workbookViewId="0">
      <selection activeCell="J197" sqref="J197:J219"/>
    </sheetView>
  </sheetViews>
  <sheetFormatPr defaultColWidth="8.875" defaultRowHeight="13.5"/>
  <cols>
    <col min="1" max="3" width="8.875" style="16"/>
    <col min="4" max="4" width="6.125" style="16" customWidth="1"/>
    <col min="5" max="10" width="2.75" style="273" customWidth="1"/>
    <col min="11" max="11" width="4.875" style="16" customWidth="1"/>
    <col min="12" max="17" width="2.75" style="16" customWidth="1"/>
    <col min="18" max="18" width="5" style="16" customWidth="1"/>
    <col min="19" max="20" width="3.5" style="273" customWidth="1"/>
    <col min="21" max="21" width="3.375" style="273" customWidth="1"/>
    <col min="22" max="22" width="3.5" style="273" customWidth="1"/>
    <col min="23" max="23" width="3.375" style="273" customWidth="1"/>
    <col min="24" max="24" width="3.5" style="273" customWidth="1"/>
    <col min="25" max="26" width="3.875" style="273" customWidth="1"/>
    <col min="27" max="16384" width="8.875" style="16"/>
  </cols>
  <sheetData>
    <row r="1" spans="1:26">
      <c r="A1" s="42" t="s">
        <v>432</v>
      </c>
    </row>
    <row r="2" spans="1:26">
      <c r="A2" s="37" t="s">
        <v>228</v>
      </c>
      <c r="B2" s="37" t="s">
        <v>400</v>
      </c>
      <c r="C2" s="37" t="s">
        <v>229</v>
      </c>
      <c r="D2" s="272" t="s">
        <v>394</v>
      </c>
      <c r="E2" s="272" t="s">
        <v>405</v>
      </c>
      <c r="F2" s="272" t="s">
        <v>406</v>
      </c>
      <c r="G2" s="272" t="s">
        <v>407</v>
      </c>
      <c r="H2" s="272" t="s">
        <v>408</v>
      </c>
      <c r="I2" s="272" t="s">
        <v>409</v>
      </c>
      <c r="J2" s="272" t="s">
        <v>410</v>
      </c>
      <c r="K2" s="273"/>
      <c r="L2" s="272" t="s">
        <v>405</v>
      </c>
      <c r="M2" s="272" t="s">
        <v>406</v>
      </c>
      <c r="N2" s="272" t="s">
        <v>407</v>
      </c>
      <c r="O2" s="272" t="s">
        <v>408</v>
      </c>
      <c r="P2" s="272" t="s">
        <v>409</v>
      </c>
      <c r="Q2" s="272" t="s">
        <v>410</v>
      </c>
      <c r="S2" s="16"/>
      <c r="T2" s="16"/>
      <c r="U2" s="16"/>
      <c r="V2" s="16"/>
      <c r="W2" s="16"/>
      <c r="X2" s="16"/>
      <c r="Y2" s="16"/>
      <c r="Z2" s="16"/>
    </row>
    <row r="3" spans="1:26">
      <c r="A3" s="38" t="s">
        <v>231</v>
      </c>
      <c r="B3" s="38" t="s">
        <v>232</v>
      </c>
      <c r="C3" s="38" t="s">
        <v>427</v>
      </c>
      <c r="D3" s="272">
        <v>53</v>
      </c>
      <c r="E3" s="48">
        <v>3</v>
      </c>
      <c r="F3" s="48">
        <v>3</v>
      </c>
      <c r="G3" s="48">
        <v>2</v>
      </c>
      <c r="H3" s="48">
        <v>2</v>
      </c>
      <c r="I3" s="48">
        <v>3</v>
      </c>
      <c r="J3" s="48">
        <v>3</v>
      </c>
      <c r="K3" s="273"/>
      <c r="L3" s="273">
        <f>IF(E3&gt;計分版!$C$13,0,1)</f>
        <v>0</v>
      </c>
      <c r="M3" s="273">
        <f>IF(F3&gt;計分版!$D$13,0,1)</f>
        <v>0</v>
      </c>
      <c r="N3" s="273">
        <f>IF(G3&gt;計分版!$E$13,0,1)</f>
        <v>0</v>
      </c>
      <c r="O3" s="273">
        <f>IF(H3&gt;計分版!$F$13,0,1)</f>
        <v>0</v>
      </c>
      <c r="P3" s="273">
        <f>IF(I3&gt;LARGE(計分版!$G$13:$L$13,1),0,1)</f>
        <v>0</v>
      </c>
      <c r="Q3" s="273">
        <f>IF(J3&gt;LARGE(計分版!$G$13:$L$13,2),0,1)</f>
        <v>0</v>
      </c>
      <c r="S3" s="273">
        <f>L3*M3*N3*O3*P3*Q3</f>
        <v>0</v>
      </c>
      <c r="T3" s="16"/>
      <c r="U3" s="16"/>
      <c r="V3" s="16"/>
      <c r="W3" s="16"/>
      <c r="X3" s="16"/>
      <c r="Y3" s="16"/>
      <c r="Z3" s="16"/>
    </row>
    <row r="4" spans="1:26">
      <c r="A4" s="38" t="s">
        <v>233</v>
      </c>
      <c r="B4" s="38" t="s">
        <v>234</v>
      </c>
      <c r="C4" s="38" t="s">
        <v>82</v>
      </c>
      <c r="D4" s="272">
        <v>31</v>
      </c>
      <c r="E4" s="48">
        <v>3</v>
      </c>
      <c r="F4" s="48">
        <v>3</v>
      </c>
      <c r="G4" s="48">
        <v>2</v>
      </c>
      <c r="H4" s="48">
        <v>2</v>
      </c>
      <c r="I4" s="48">
        <v>3</v>
      </c>
      <c r="J4" s="48">
        <v>3</v>
      </c>
      <c r="K4" s="273"/>
      <c r="L4" s="273">
        <f>IF(E4&gt;計分版!$C$13,0,1)</f>
        <v>0</v>
      </c>
      <c r="M4" s="273">
        <f>IF(F4&gt;計分版!$D$13,0,1)</f>
        <v>0</v>
      </c>
      <c r="N4" s="273">
        <f>IF(G4&gt;計分版!$E$13,0,1)</f>
        <v>0</v>
      </c>
      <c r="O4" s="273">
        <f>IF(H4&gt;計分版!$F$13,0,1)</f>
        <v>0</v>
      </c>
      <c r="P4" s="273">
        <f>IF(I4&gt;LARGE(計分版!$G$13:$L$13,1),0,1)</f>
        <v>0</v>
      </c>
      <c r="Q4" s="273">
        <f>IF(J4&gt;LARGE(計分版!$G$13:$L$13,2),0,1)</f>
        <v>0</v>
      </c>
      <c r="S4" s="273">
        <f t="shared" ref="S4:S39" si="0">L4*M4*N4*O4*P4*Q4</f>
        <v>0</v>
      </c>
      <c r="T4" s="16"/>
      <c r="U4" s="16"/>
      <c r="V4" s="16"/>
      <c r="W4" s="16"/>
      <c r="X4" s="16"/>
      <c r="Y4" s="16"/>
      <c r="Z4" s="16"/>
    </row>
    <row r="5" spans="1:26">
      <c r="A5" s="38" t="s">
        <v>235</v>
      </c>
      <c r="B5" s="38" t="s">
        <v>236</v>
      </c>
      <c r="C5" s="38" t="s">
        <v>214</v>
      </c>
      <c r="D5" s="272">
        <v>12</v>
      </c>
      <c r="E5" s="48">
        <v>3</v>
      </c>
      <c r="F5" s="48">
        <v>3</v>
      </c>
      <c r="G5" s="48">
        <v>2</v>
      </c>
      <c r="H5" s="48">
        <v>2</v>
      </c>
      <c r="I5" s="48">
        <v>3</v>
      </c>
      <c r="J5" s="48">
        <v>3</v>
      </c>
      <c r="K5" s="273"/>
      <c r="L5" s="273">
        <f>IF(E5&gt;計分版!$C$13,0,1)</f>
        <v>0</v>
      </c>
      <c r="M5" s="273">
        <f>IF(F5&gt;計分版!$D$13,0,1)</f>
        <v>0</v>
      </c>
      <c r="N5" s="273">
        <f>IF(G5&gt;計分版!$E$13,0,1)</f>
        <v>0</v>
      </c>
      <c r="O5" s="273">
        <f>IF(H5&gt;計分版!$F$13,0,1)</f>
        <v>0</v>
      </c>
      <c r="P5" s="273">
        <f>IF(I5&gt;LARGE(計分版!$G$13:$L$13,1),0,1)</f>
        <v>0</v>
      </c>
      <c r="Q5" s="273">
        <f>IF(J5&gt;LARGE(計分版!$G$13:$L$13,2),0,1)</f>
        <v>0</v>
      </c>
      <c r="S5" s="273">
        <f t="shared" si="0"/>
        <v>0</v>
      </c>
      <c r="T5" s="16"/>
      <c r="U5" s="16"/>
      <c r="V5" s="16"/>
      <c r="W5" s="16"/>
      <c r="X5" s="16"/>
      <c r="Y5" s="16"/>
      <c r="Z5" s="16"/>
    </row>
    <row r="6" spans="1:26">
      <c r="A6" s="38" t="s">
        <v>237</v>
      </c>
      <c r="B6" s="38" t="s">
        <v>238</v>
      </c>
      <c r="C6" s="38" t="s">
        <v>214</v>
      </c>
      <c r="D6" s="272">
        <v>12</v>
      </c>
      <c r="E6" s="48">
        <v>3</v>
      </c>
      <c r="F6" s="48">
        <v>3</v>
      </c>
      <c r="G6" s="48">
        <v>2</v>
      </c>
      <c r="H6" s="48">
        <v>2</v>
      </c>
      <c r="I6" s="48">
        <v>3</v>
      </c>
      <c r="J6" s="48">
        <v>3</v>
      </c>
      <c r="K6" s="273"/>
      <c r="L6" s="273">
        <f>IF(E6&gt;計分版!$C$13,0,1)</f>
        <v>0</v>
      </c>
      <c r="M6" s="273">
        <f>IF(F6&gt;計分版!$D$13,0,1)</f>
        <v>0</v>
      </c>
      <c r="N6" s="273">
        <f>IF(G6&gt;計分版!$E$13,0,1)</f>
        <v>0</v>
      </c>
      <c r="O6" s="273">
        <f>IF(H6&gt;計分版!$F$13,0,1)</f>
        <v>0</v>
      </c>
      <c r="P6" s="273">
        <f>IF(I6&gt;LARGE(計分版!$G$13:$L$13,1),0,1)</f>
        <v>0</v>
      </c>
      <c r="Q6" s="273">
        <f>IF(J6&gt;LARGE(計分版!$G$13:$L$13,2),0,1)</f>
        <v>0</v>
      </c>
      <c r="S6" s="273">
        <f t="shared" si="0"/>
        <v>0</v>
      </c>
      <c r="T6" s="16"/>
      <c r="U6" s="16"/>
      <c r="V6" s="16"/>
      <c r="W6" s="16"/>
      <c r="X6" s="16"/>
      <c r="Y6" s="16"/>
      <c r="Z6" s="16"/>
    </row>
    <row r="7" spans="1:26">
      <c r="A7" s="38" t="s">
        <v>239</v>
      </c>
      <c r="B7" s="38" t="s">
        <v>240</v>
      </c>
      <c r="C7" s="38" t="s">
        <v>214</v>
      </c>
      <c r="D7" s="272">
        <v>17</v>
      </c>
      <c r="E7" s="48">
        <v>3</v>
      </c>
      <c r="F7" s="48">
        <v>3</v>
      </c>
      <c r="G7" s="48">
        <v>2</v>
      </c>
      <c r="H7" s="48">
        <v>2</v>
      </c>
      <c r="I7" s="48">
        <v>3</v>
      </c>
      <c r="J7" s="48">
        <v>3</v>
      </c>
      <c r="K7" s="273"/>
      <c r="L7" s="273">
        <f>IF(E7&gt;計分版!$C$13,0,1)</f>
        <v>0</v>
      </c>
      <c r="M7" s="273">
        <f>IF(F7&gt;計分版!$D$13,0,1)</f>
        <v>0</v>
      </c>
      <c r="N7" s="273">
        <f>IF(G7&gt;計分版!$E$13,0,1)</f>
        <v>0</v>
      </c>
      <c r="O7" s="273">
        <f>IF(H7&gt;計分版!$F$13,0,1)</f>
        <v>0</v>
      </c>
      <c r="P7" s="273">
        <f>IF(I7&gt;LARGE(計分版!$G$13:$L$13,1),0,1)</f>
        <v>0</v>
      </c>
      <c r="Q7" s="273">
        <f>IF(J7&gt;LARGE(計分版!$G$13:$L$13,2),0,1)</f>
        <v>0</v>
      </c>
      <c r="S7" s="273">
        <f t="shared" si="0"/>
        <v>0</v>
      </c>
      <c r="T7" s="16"/>
      <c r="U7" s="16"/>
      <c r="V7" s="16"/>
      <c r="W7" s="16"/>
      <c r="X7" s="16"/>
      <c r="Y7" s="16"/>
      <c r="Z7" s="16"/>
    </row>
    <row r="8" spans="1:26">
      <c r="A8" s="38" t="s">
        <v>241</v>
      </c>
      <c r="B8" s="38" t="s">
        <v>242</v>
      </c>
      <c r="C8" s="38" t="s">
        <v>214</v>
      </c>
      <c r="D8" s="272">
        <v>347</v>
      </c>
      <c r="E8" s="48">
        <v>3</v>
      </c>
      <c r="F8" s="48">
        <v>3</v>
      </c>
      <c r="G8" s="48">
        <v>2</v>
      </c>
      <c r="H8" s="48">
        <v>2</v>
      </c>
      <c r="I8" s="48">
        <v>3</v>
      </c>
      <c r="J8" s="48">
        <v>3</v>
      </c>
      <c r="K8" s="273"/>
      <c r="L8" s="273">
        <f>IF(E8&gt;計分版!$C$13,0,1)</f>
        <v>0</v>
      </c>
      <c r="M8" s="273">
        <f>IF(F8&gt;計分版!$D$13,0,1)</f>
        <v>0</v>
      </c>
      <c r="N8" s="273">
        <f>IF(G8&gt;計分版!$E$13,0,1)</f>
        <v>0</v>
      </c>
      <c r="O8" s="273">
        <f>IF(H8&gt;計分版!$F$13,0,1)</f>
        <v>0</v>
      </c>
      <c r="P8" s="273">
        <f>IF(I8&gt;LARGE(計分版!$G$13:$L$13,1),0,1)</f>
        <v>0</v>
      </c>
      <c r="Q8" s="273">
        <f>IF(J8&gt;LARGE(計分版!$G$13:$L$13,2),0,1)</f>
        <v>0</v>
      </c>
      <c r="S8" s="273">
        <f t="shared" si="0"/>
        <v>0</v>
      </c>
      <c r="T8" s="16"/>
      <c r="U8" s="16"/>
      <c r="V8" s="16"/>
      <c r="W8" s="16"/>
      <c r="X8" s="16"/>
      <c r="Y8" s="16"/>
      <c r="Z8" s="16"/>
    </row>
    <row r="9" spans="1:26">
      <c r="A9" s="38" t="s">
        <v>284</v>
      </c>
      <c r="B9" s="38" t="s">
        <v>285</v>
      </c>
      <c r="C9" s="38" t="s">
        <v>80</v>
      </c>
      <c r="D9" s="307">
        <v>282</v>
      </c>
      <c r="E9" s="48">
        <v>3</v>
      </c>
      <c r="F9" s="48">
        <v>4</v>
      </c>
      <c r="G9" s="48">
        <v>3</v>
      </c>
      <c r="H9" s="48">
        <v>2</v>
      </c>
      <c r="I9" s="48">
        <v>3</v>
      </c>
      <c r="J9" s="48">
        <v>3</v>
      </c>
      <c r="K9" s="273"/>
      <c r="L9" s="273">
        <f>IF(E9&gt;計分版!$C$13,0,1)</f>
        <v>0</v>
      </c>
      <c r="M9" s="273">
        <f>IF(F9&gt;計分版!$D$13,0,1)</f>
        <v>0</v>
      </c>
      <c r="N9" s="273">
        <f>IF(G9&gt;計分版!$E$13,0,1)</f>
        <v>0</v>
      </c>
      <c r="O9" s="273">
        <f>IF(H9&gt;計分版!$F$13,0,1)</f>
        <v>0</v>
      </c>
      <c r="P9" s="273">
        <f>IF(I9&gt;LARGE(計分版!$G$13:$L$13,1),0,1)</f>
        <v>0</v>
      </c>
      <c r="Q9" s="273">
        <f>IF(J9&gt;LARGE(計分版!$G$13:$L$13,2),0,1)</f>
        <v>0</v>
      </c>
      <c r="S9" s="273">
        <f t="shared" si="0"/>
        <v>0</v>
      </c>
      <c r="T9" s="16"/>
      <c r="U9" s="16"/>
      <c r="V9" s="16"/>
      <c r="W9" s="16"/>
      <c r="X9" s="16"/>
      <c r="Y9" s="16"/>
      <c r="Z9" s="16"/>
    </row>
    <row r="10" spans="1:26">
      <c r="A10" s="38" t="s">
        <v>286</v>
      </c>
      <c r="B10" s="38" t="s">
        <v>287</v>
      </c>
      <c r="C10" s="38" t="s">
        <v>428</v>
      </c>
      <c r="D10" s="307"/>
      <c r="E10" s="48">
        <v>3</v>
      </c>
      <c r="F10" s="48">
        <v>4</v>
      </c>
      <c r="G10" s="48">
        <v>3</v>
      </c>
      <c r="H10" s="48">
        <v>2</v>
      </c>
      <c r="I10" s="48">
        <v>3</v>
      </c>
      <c r="J10" s="48">
        <v>3</v>
      </c>
      <c r="K10" s="273"/>
      <c r="L10" s="273">
        <f>IF(E10&gt;計分版!$C$13,0,1)</f>
        <v>0</v>
      </c>
      <c r="M10" s="273">
        <f>IF(F10&gt;計分版!$D$13,0,1)</f>
        <v>0</v>
      </c>
      <c r="N10" s="273">
        <f>IF(G10&gt;計分版!$E$13,0,1)</f>
        <v>0</v>
      </c>
      <c r="O10" s="273">
        <f>IF(H10&gt;計分版!$F$13,0,1)</f>
        <v>0</v>
      </c>
      <c r="P10" s="273">
        <f>IF(I10&gt;LARGE(計分版!$G$13:$L$13,1),0,1)</f>
        <v>0</v>
      </c>
      <c r="Q10" s="273">
        <f>IF(J10&gt;LARGE(計分版!$G$13:$L$13,2),0,1)</f>
        <v>0</v>
      </c>
      <c r="S10" s="273">
        <f t="shared" si="0"/>
        <v>0</v>
      </c>
      <c r="T10" s="16"/>
      <c r="U10" s="16"/>
      <c r="V10" s="16"/>
      <c r="W10" s="16"/>
      <c r="X10" s="16"/>
      <c r="Y10" s="16"/>
      <c r="Z10" s="16"/>
    </row>
    <row r="11" spans="1:26">
      <c r="A11" s="38" t="s">
        <v>296</v>
      </c>
      <c r="B11" s="38" t="s">
        <v>297</v>
      </c>
      <c r="C11" s="38" t="s">
        <v>80</v>
      </c>
      <c r="D11" s="307"/>
      <c r="E11" s="48">
        <v>3</v>
      </c>
      <c r="F11" s="48">
        <v>4</v>
      </c>
      <c r="G11" s="48">
        <v>3</v>
      </c>
      <c r="H11" s="48">
        <v>2</v>
      </c>
      <c r="I11" s="48">
        <v>3</v>
      </c>
      <c r="J11" s="48">
        <v>3</v>
      </c>
      <c r="K11" s="273"/>
      <c r="L11" s="273">
        <f>IF(E11&gt;計分版!$C$13,0,1)</f>
        <v>0</v>
      </c>
      <c r="M11" s="273">
        <f>IF(F11&gt;計分版!$D$13,0,1)</f>
        <v>0</v>
      </c>
      <c r="N11" s="273">
        <f>IF(G11&gt;計分版!$E$13,0,1)</f>
        <v>0</v>
      </c>
      <c r="O11" s="273">
        <f>IF(H11&gt;計分版!$F$13,0,1)</f>
        <v>0</v>
      </c>
      <c r="P11" s="273">
        <f>IF(I11&gt;LARGE(計分版!$G$13:$L$13,1),0,1)</f>
        <v>0</v>
      </c>
      <c r="Q11" s="273">
        <f>IF(J11&gt;LARGE(計分版!$G$13:$L$13,2),0,1)</f>
        <v>0</v>
      </c>
      <c r="S11" s="273">
        <f t="shared" si="0"/>
        <v>0</v>
      </c>
      <c r="T11" s="16"/>
      <c r="U11" s="16"/>
      <c r="V11" s="16"/>
      <c r="W11" s="16"/>
      <c r="X11" s="16"/>
      <c r="Y11" s="16"/>
      <c r="Z11" s="16"/>
    </row>
    <row r="12" spans="1:26">
      <c r="A12" s="38" t="s">
        <v>288</v>
      </c>
      <c r="B12" s="38" t="s">
        <v>289</v>
      </c>
      <c r="C12" s="38" t="s">
        <v>428</v>
      </c>
      <c r="D12" s="272">
        <v>15</v>
      </c>
      <c r="E12" s="48">
        <v>3</v>
      </c>
      <c r="F12" s="48">
        <v>4</v>
      </c>
      <c r="G12" s="48">
        <v>3</v>
      </c>
      <c r="H12" s="48">
        <v>2</v>
      </c>
      <c r="I12" s="48">
        <v>3</v>
      </c>
      <c r="J12" s="48">
        <v>3</v>
      </c>
      <c r="K12" s="273"/>
      <c r="L12" s="273">
        <f>IF(E12&gt;計分版!$C$13,0,1)</f>
        <v>0</v>
      </c>
      <c r="M12" s="273">
        <f>IF(F12&gt;計分版!$D$13,0,1)</f>
        <v>0</v>
      </c>
      <c r="N12" s="273">
        <f>IF(G12&gt;計分版!$E$13,0,1)</f>
        <v>0</v>
      </c>
      <c r="O12" s="273">
        <f>IF(H12&gt;計分版!$F$13,0,1)</f>
        <v>0</v>
      </c>
      <c r="P12" s="273">
        <f>IF(OR(I12&gt;LARGE(計分版!$G$13:$L$13,1),計分版!$P$25=0),0,1)</f>
        <v>0</v>
      </c>
      <c r="Q12" s="273">
        <f>IF(J12&gt;LARGE(計分版!$G$13:$L$13,2),0,IF(計分版!$G$13&lt;3,2,1))</f>
        <v>0</v>
      </c>
      <c r="S12" s="273">
        <f>L12*M12*N12*O12*P12*Q12</f>
        <v>0</v>
      </c>
      <c r="T12" s="16"/>
      <c r="U12" s="16">
        <f>IF(計分版!$P$25=0,0,1)</f>
        <v>0</v>
      </c>
      <c r="V12" s="16"/>
      <c r="W12" s="16"/>
      <c r="X12" s="16"/>
      <c r="Y12" s="16"/>
      <c r="Z12" s="16"/>
    </row>
    <row r="13" spans="1:26">
      <c r="A13" s="38" t="s">
        <v>290</v>
      </c>
      <c r="B13" s="38" t="s">
        <v>291</v>
      </c>
      <c r="C13" s="38" t="s">
        <v>428</v>
      </c>
      <c r="D13" s="272">
        <v>70</v>
      </c>
      <c r="E13" s="48">
        <v>4</v>
      </c>
      <c r="F13" s="48">
        <v>5</v>
      </c>
      <c r="G13" s="48">
        <v>4</v>
      </c>
      <c r="H13" s="48">
        <v>2</v>
      </c>
      <c r="I13" s="48">
        <v>3</v>
      </c>
      <c r="J13" s="48">
        <v>3</v>
      </c>
      <c r="K13" s="273"/>
      <c r="L13" s="273">
        <f>IF(E13&gt;計分版!$C$13,0,1)</f>
        <v>0</v>
      </c>
      <c r="M13" s="273">
        <f>IF(F13&gt;計分版!$D$13,0,1)</f>
        <v>0</v>
      </c>
      <c r="N13" s="273">
        <f>IF(G13&gt;計分版!$E$13,0,1)</f>
        <v>0</v>
      </c>
      <c r="O13" s="273">
        <f>IF(H13&gt;計分版!$F$13,0,1)</f>
        <v>0</v>
      </c>
      <c r="P13" s="273">
        <f>IF(I13&gt;LARGE(計分版!$G$13:$L$13,1),0,1)</f>
        <v>0</v>
      </c>
      <c r="Q13" s="273">
        <f>IF(J13&gt;LARGE(計分版!$G$13:$L$13,2),0,1)</f>
        <v>0</v>
      </c>
      <c r="S13" s="273">
        <f t="shared" si="0"/>
        <v>0</v>
      </c>
      <c r="T13" s="16"/>
      <c r="U13" s="16"/>
      <c r="V13" s="16"/>
      <c r="W13" s="16"/>
      <c r="X13" s="16"/>
      <c r="Y13" s="16"/>
      <c r="Z13" s="16"/>
    </row>
    <row r="14" spans="1:26">
      <c r="A14" s="38" t="s">
        <v>298</v>
      </c>
      <c r="B14" s="38" t="s">
        <v>299</v>
      </c>
      <c r="C14" s="38" t="s">
        <v>80</v>
      </c>
      <c r="D14" s="272">
        <v>25</v>
      </c>
      <c r="E14" s="48">
        <v>3</v>
      </c>
      <c r="F14" s="48">
        <v>4</v>
      </c>
      <c r="G14" s="48">
        <v>3</v>
      </c>
      <c r="H14" s="48">
        <v>2</v>
      </c>
      <c r="I14" s="48">
        <v>3</v>
      </c>
      <c r="J14" s="48">
        <v>3</v>
      </c>
      <c r="K14" s="273"/>
      <c r="L14" s="273">
        <f>IF(E14&gt;計分版!$C$13,0,1)</f>
        <v>0</v>
      </c>
      <c r="M14" s="273">
        <f>IF(F14&gt;計分版!$D$13,0,1)</f>
        <v>0</v>
      </c>
      <c r="N14" s="273">
        <f>IF(G14&gt;計分版!$E$13,0,1)</f>
        <v>0</v>
      </c>
      <c r="O14" s="273">
        <f>IF(H14&gt;計分版!$F$13,0,1)</f>
        <v>0</v>
      </c>
      <c r="P14" s="273">
        <f>IF(I14&gt;LARGE(計分版!$G$13:$L$13,1),0,1)</f>
        <v>0</v>
      </c>
      <c r="Q14" s="273">
        <f>IF(計分版!$G$13&lt;3,0,IF(J14&gt;LARGE(計分版!$G$13:$L$13,2),0,1))</f>
        <v>0</v>
      </c>
      <c r="S14" s="273">
        <f t="shared" si="0"/>
        <v>0</v>
      </c>
      <c r="T14" s="16"/>
      <c r="U14" s="16"/>
      <c r="V14" s="16"/>
      <c r="W14" s="16"/>
      <c r="X14" s="16"/>
      <c r="Y14" s="16"/>
      <c r="Z14" s="16"/>
    </row>
    <row r="15" spans="1:26">
      <c r="A15" s="38" t="s">
        <v>300</v>
      </c>
      <c r="B15" s="38" t="s">
        <v>301</v>
      </c>
      <c r="C15" s="38" t="s">
        <v>220</v>
      </c>
      <c r="D15" s="272">
        <v>31</v>
      </c>
      <c r="E15" s="48">
        <v>3</v>
      </c>
      <c r="F15" s="48">
        <v>5</v>
      </c>
      <c r="G15" s="48">
        <v>4</v>
      </c>
      <c r="H15" s="48">
        <v>2</v>
      </c>
      <c r="I15" s="48">
        <v>3</v>
      </c>
      <c r="J15" s="48">
        <v>3</v>
      </c>
      <c r="K15" s="273"/>
      <c r="L15" s="273">
        <f>IF(E15&gt;計分版!$C$13,0,1)</f>
        <v>0</v>
      </c>
      <c r="M15" s="273">
        <f>IF(F15&gt;計分版!$D$13,0,1)</f>
        <v>0</v>
      </c>
      <c r="N15" s="273">
        <f>IF(G15&gt;計分版!$E$13,0,1)</f>
        <v>0</v>
      </c>
      <c r="O15" s="273">
        <f>IF(H15&gt;計分版!$F$13,0,1)</f>
        <v>0</v>
      </c>
      <c r="P15" s="273">
        <f>IF(I15&gt;LARGE(計分版!$G$13:$L$13,1),0,1)</f>
        <v>0</v>
      </c>
      <c r="Q15" s="273">
        <f>IF(J15&gt;LARGE(計分版!$G$13:$L$13,2),0,1)</f>
        <v>0</v>
      </c>
      <c r="S15" s="273">
        <f t="shared" si="0"/>
        <v>0</v>
      </c>
      <c r="T15" s="16"/>
      <c r="U15" s="16"/>
      <c r="V15" s="16"/>
      <c r="W15" s="16"/>
      <c r="X15" s="16"/>
      <c r="Y15" s="16"/>
      <c r="Z15" s="16"/>
    </row>
    <row r="16" spans="1:26">
      <c r="A16" s="38" t="s">
        <v>251</v>
      </c>
      <c r="B16" s="38" t="s">
        <v>252</v>
      </c>
      <c r="C16" s="38" t="s">
        <v>80</v>
      </c>
      <c r="D16" s="272">
        <v>80</v>
      </c>
      <c r="E16" s="48">
        <v>3</v>
      </c>
      <c r="F16" s="48">
        <v>4</v>
      </c>
      <c r="G16" s="48">
        <v>3</v>
      </c>
      <c r="H16" s="48">
        <v>3</v>
      </c>
      <c r="I16" s="48">
        <v>3</v>
      </c>
      <c r="J16" s="48">
        <v>3</v>
      </c>
      <c r="K16" s="273"/>
      <c r="L16" s="273">
        <f>IF(E16&gt;計分版!$C$13,0,1)</f>
        <v>0</v>
      </c>
      <c r="M16" s="273">
        <f>IF(F16&gt;計分版!$D$13,0,1)</f>
        <v>0</v>
      </c>
      <c r="N16" s="273">
        <f>IF(G16&gt;計分版!$E$13,0,1)</f>
        <v>0</v>
      </c>
      <c r="O16" s="273">
        <f>IF(H16&gt;計分版!$F$13,0,1)</f>
        <v>0</v>
      </c>
      <c r="P16" s="273">
        <f>IF(計分版!$P$23=0,0,IF(I16&gt;LARGE(計分版!$G$13:$L$13,1),0,1))</f>
        <v>0</v>
      </c>
      <c r="Q16" s="273">
        <f>IF(J16&gt;LARGE(計分版!$G$13:$L$13,2),0,1)</f>
        <v>0</v>
      </c>
      <c r="S16" s="273">
        <f t="shared" si="0"/>
        <v>0</v>
      </c>
      <c r="T16" s="16"/>
      <c r="U16" s="16"/>
      <c r="V16" s="16"/>
      <c r="W16" s="16"/>
      <c r="X16" s="16"/>
      <c r="Y16" s="16"/>
      <c r="Z16" s="16"/>
    </row>
    <row r="17" spans="1:19" s="16" customFormat="1">
      <c r="A17" s="38" t="s">
        <v>243</v>
      </c>
      <c r="B17" s="38" t="s">
        <v>244</v>
      </c>
      <c r="C17" s="38" t="s">
        <v>214</v>
      </c>
      <c r="D17" s="272">
        <v>26</v>
      </c>
      <c r="E17" s="48">
        <v>3</v>
      </c>
      <c r="F17" s="48">
        <v>3</v>
      </c>
      <c r="G17" s="48">
        <v>2</v>
      </c>
      <c r="H17" s="48">
        <v>2</v>
      </c>
      <c r="I17" s="48">
        <v>3</v>
      </c>
      <c r="J17" s="48">
        <v>3</v>
      </c>
      <c r="K17" s="273"/>
      <c r="L17" s="273">
        <f>IF(E17&gt;計分版!$C$13,0,1)</f>
        <v>0</v>
      </c>
      <c r="M17" s="273">
        <f>IF(F17&gt;計分版!$D$13,0,1)</f>
        <v>0</v>
      </c>
      <c r="N17" s="273">
        <f>IF(G17&gt;計分版!$E$13,0,1)</f>
        <v>0</v>
      </c>
      <c r="O17" s="273">
        <f>IF(H17&gt;計分版!$F$13,0,1)</f>
        <v>0</v>
      </c>
      <c r="P17" s="273">
        <f>IF(I17&gt;LARGE(計分版!$G$13:$L$13,1),0,1)</f>
        <v>0</v>
      </c>
      <c r="Q17" s="273">
        <f>IF(J17&gt;LARGE(計分版!$G$13:$L$13,2),0,1)</f>
        <v>0</v>
      </c>
      <c r="S17" s="273">
        <f t="shared" si="0"/>
        <v>0</v>
      </c>
    </row>
    <row r="18" spans="1:19" s="16" customFormat="1">
      <c r="A18" s="38" t="s">
        <v>247</v>
      </c>
      <c r="B18" s="38" t="s">
        <v>248</v>
      </c>
      <c r="C18" s="38" t="s">
        <v>214</v>
      </c>
      <c r="D18" s="272">
        <v>23</v>
      </c>
      <c r="E18" s="48">
        <v>3</v>
      </c>
      <c r="F18" s="48">
        <v>3</v>
      </c>
      <c r="G18" s="48">
        <v>2</v>
      </c>
      <c r="H18" s="48">
        <v>2</v>
      </c>
      <c r="I18" s="48">
        <v>3</v>
      </c>
      <c r="J18" s="48">
        <v>3</v>
      </c>
      <c r="K18" s="273"/>
      <c r="L18" s="273">
        <f>IF(E18&gt;計分版!$C$13,0,1)</f>
        <v>0</v>
      </c>
      <c r="M18" s="273">
        <f>IF(F18&gt;計分版!$D$13,0,1)</f>
        <v>0</v>
      </c>
      <c r="N18" s="273">
        <f>IF(G18&gt;計分版!$E$13,0,1)</f>
        <v>0</v>
      </c>
      <c r="O18" s="273">
        <f>IF(H18&gt;計分版!$F$13,0,1)</f>
        <v>0</v>
      </c>
      <c r="P18" s="273">
        <f>IF(I18&gt;LARGE(計分版!$G$13:$L$13,1),0,1)</f>
        <v>0</v>
      </c>
      <c r="Q18" s="273">
        <f>IF(J18&gt;LARGE(計分版!$G$13:$L$13,2),0,1)</f>
        <v>0</v>
      </c>
      <c r="S18" s="273">
        <f t="shared" si="0"/>
        <v>0</v>
      </c>
    </row>
    <row r="19" spans="1:19" s="16" customFormat="1">
      <c r="A19" s="38" t="s">
        <v>249</v>
      </c>
      <c r="B19" s="38" t="s">
        <v>250</v>
      </c>
      <c r="C19" s="38" t="s">
        <v>214</v>
      </c>
      <c r="D19" s="272">
        <v>18</v>
      </c>
      <c r="E19" s="48">
        <v>3</v>
      </c>
      <c r="F19" s="48">
        <v>3</v>
      </c>
      <c r="G19" s="48">
        <v>2</v>
      </c>
      <c r="H19" s="48">
        <v>2</v>
      </c>
      <c r="I19" s="48">
        <v>3</v>
      </c>
      <c r="J19" s="48">
        <v>3</v>
      </c>
      <c r="K19" s="273"/>
      <c r="L19" s="273">
        <f>IF(E19&gt;計分版!$C$13,0,1)</f>
        <v>0</v>
      </c>
      <c r="M19" s="273">
        <f>IF(F19&gt;計分版!$D$13,0,1)</f>
        <v>0</v>
      </c>
      <c r="N19" s="273">
        <f>IF(G19&gt;計分版!$E$13,0,1)</f>
        <v>0</v>
      </c>
      <c r="O19" s="273">
        <f>IF(H19&gt;計分版!$F$13,0,1)</f>
        <v>0</v>
      </c>
      <c r="P19" s="273">
        <f>IF(I19&gt;LARGE(計分版!$G$13:$L$13,1),0,1)</f>
        <v>0</v>
      </c>
      <c r="Q19" s="273">
        <f>IF(J19&gt;LARGE(計分版!$G$13:$L$13,2),0,1)</f>
        <v>0</v>
      </c>
      <c r="S19" s="273">
        <f t="shared" si="0"/>
        <v>0</v>
      </c>
    </row>
    <row r="20" spans="1:19" s="16" customFormat="1">
      <c r="A20" s="38" t="s">
        <v>253</v>
      </c>
      <c r="B20" s="38" t="s">
        <v>254</v>
      </c>
      <c r="C20" s="38" t="s">
        <v>214</v>
      </c>
      <c r="D20" s="272">
        <v>16</v>
      </c>
      <c r="E20" s="48">
        <v>3</v>
      </c>
      <c r="F20" s="48">
        <v>3</v>
      </c>
      <c r="G20" s="48">
        <v>2</v>
      </c>
      <c r="H20" s="48">
        <v>2</v>
      </c>
      <c r="I20" s="48">
        <v>3</v>
      </c>
      <c r="J20" s="48">
        <v>3</v>
      </c>
      <c r="K20" s="273"/>
      <c r="L20" s="273">
        <f>IF(E20&gt;計分版!$C$13,0,1)</f>
        <v>0</v>
      </c>
      <c r="M20" s="273">
        <f>IF(F20&gt;計分版!$D$13,0,1)</f>
        <v>0</v>
      </c>
      <c r="N20" s="273">
        <f>IF(G20&gt;計分版!$E$13,0,1)</f>
        <v>0</v>
      </c>
      <c r="O20" s="273">
        <f>IF(H20&gt;計分版!$F$13,0,1)</f>
        <v>0</v>
      </c>
      <c r="P20" s="273">
        <f>IF(計分版!$P$23=0,0,IF(I20&gt;LARGE(計分版!$G$13:$L$13,1),0,1))</f>
        <v>0</v>
      </c>
      <c r="Q20" s="273">
        <f>IF(J20&gt;LARGE(計分版!$G$13:$L$13,2),0,1)</f>
        <v>0</v>
      </c>
      <c r="S20" s="273">
        <f t="shared" si="0"/>
        <v>0</v>
      </c>
    </row>
    <row r="21" spans="1:19" s="16" customFormat="1">
      <c r="A21" s="38" t="s">
        <v>255</v>
      </c>
      <c r="B21" s="38" t="s">
        <v>256</v>
      </c>
      <c r="C21" s="38" t="s">
        <v>80</v>
      </c>
      <c r="D21" s="272">
        <v>48</v>
      </c>
      <c r="E21" s="48">
        <v>3</v>
      </c>
      <c r="F21" s="48">
        <v>3</v>
      </c>
      <c r="G21" s="48">
        <v>2</v>
      </c>
      <c r="H21" s="48">
        <v>2</v>
      </c>
      <c r="I21" s="48">
        <v>3</v>
      </c>
      <c r="J21" s="48">
        <v>3</v>
      </c>
      <c r="K21" s="273"/>
      <c r="L21" s="273">
        <f>IF(E21&gt;計分版!$C$13,0,1)</f>
        <v>0</v>
      </c>
      <c r="M21" s="273">
        <f>IF(F21&gt;計分版!$D$13,0,1)</f>
        <v>0</v>
      </c>
      <c r="N21" s="273">
        <f>IF(G21&gt;計分版!$E$13,0,1)</f>
        <v>0</v>
      </c>
      <c r="O21" s="273">
        <f>IF(H21&gt;計分版!$F$13,0,1)</f>
        <v>0</v>
      </c>
      <c r="P21" s="273">
        <f>IF(計分版!$P$23=0,0,IF(I21&gt;LARGE(計分版!$G$13:$L$13,1),0,1))</f>
        <v>0</v>
      </c>
      <c r="Q21" s="273">
        <f>IF(J21&gt;LARGE(計分版!$G$13:$L$13,2),0,1)</f>
        <v>0</v>
      </c>
      <c r="S21" s="273">
        <f t="shared" si="0"/>
        <v>0</v>
      </c>
    </row>
    <row r="22" spans="1:19" s="16" customFormat="1">
      <c r="A22" s="38" t="s">
        <v>257</v>
      </c>
      <c r="B22" s="38" t="s">
        <v>258</v>
      </c>
      <c r="C22" s="38" t="s">
        <v>214</v>
      </c>
      <c r="D22" s="272">
        <v>6</v>
      </c>
      <c r="E22" s="48">
        <v>3</v>
      </c>
      <c r="F22" s="48">
        <v>3</v>
      </c>
      <c r="G22" s="48">
        <v>2</v>
      </c>
      <c r="H22" s="48">
        <v>2</v>
      </c>
      <c r="I22" s="48">
        <v>3</v>
      </c>
      <c r="J22" s="48">
        <v>3</v>
      </c>
      <c r="K22" s="273"/>
      <c r="L22" s="273">
        <f>IF(E22&gt;計分版!$C$13,0,1)</f>
        <v>0</v>
      </c>
      <c r="M22" s="273">
        <f>IF(F22&gt;計分版!$D$13,0,1)</f>
        <v>0</v>
      </c>
      <c r="N22" s="273">
        <f>IF(G22&gt;計分版!$E$13,0,1)</f>
        <v>0</v>
      </c>
      <c r="O22" s="273">
        <f>IF(H22&gt;計分版!$F$13,0,1)</f>
        <v>0</v>
      </c>
      <c r="P22" s="273">
        <f>IF(I22&gt;LARGE(計分版!$G$13:$L$13,1),0,1)</f>
        <v>0</v>
      </c>
      <c r="Q22" s="273">
        <f>IF(J22&gt;LARGE(計分版!$G$13:$L$13,2),0,1)</f>
        <v>0</v>
      </c>
      <c r="S22" s="273">
        <f t="shared" si="0"/>
        <v>0</v>
      </c>
    </row>
    <row r="23" spans="1:19" s="16" customFormat="1">
      <c r="A23" s="38" t="s">
        <v>304</v>
      </c>
      <c r="B23" s="38" t="s">
        <v>305</v>
      </c>
      <c r="C23" s="38" t="s">
        <v>214</v>
      </c>
      <c r="D23" s="272">
        <v>23</v>
      </c>
      <c r="E23" s="48">
        <v>3</v>
      </c>
      <c r="F23" s="48">
        <v>3</v>
      </c>
      <c r="G23" s="48">
        <v>2</v>
      </c>
      <c r="H23" s="48">
        <v>2</v>
      </c>
      <c r="I23" s="48">
        <v>3</v>
      </c>
      <c r="J23" s="48">
        <v>3</v>
      </c>
      <c r="K23" s="273"/>
      <c r="L23" s="273">
        <f>IF(E23&gt;計分版!$C$13,0,1)</f>
        <v>0</v>
      </c>
      <c r="M23" s="273">
        <f>IF(F23&gt;計分版!$D$13,0,1)</f>
        <v>0</v>
      </c>
      <c r="N23" s="273">
        <f>IF(G23&gt;計分版!$E$13,0,1)</f>
        <v>0</v>
      </c>
      <c r="O23" s="273">
        <f>IF(H23&gt;計分版!$F$13,0,1)</f>
        <v>0</v>
      </c>
      <c r="P23" s="273">
        <f>IF(計分版!$P$27=0,0,IF(I23&gt;LARGE(計分版!$G$13:$L$13,1),0,1))</f>
        <v>0</v>
      </c>
      <c r="Q23" s="273">
        <f>IF(J23&gt;LARGE(計分版!$G$13:$L$13,2),0,IF(計分版!$G$13&lt;3,2,1))</f>
        <v>0</v>
      </c>
      <c r="S23" s="273">
        <f t="shared" si="0"/>
        <v>0</v>
      </c>
    </row>
    <row r="24" spans="1:19" s="16" customFormat="1">
      <c r="A24" s="38" t="s">
        <v>306</v>
      </c>
      <c r="B24" s="38" t="s">
        <v>307</v>
      </c>
      <c r="C24" s="38" t="s">
        <v>82</v>
      </c>
      <c r="D24" s="272">
        <v>14</v>
      </c>
      <c r="E24" s="48">
        <v>3</v>
      </c>
      <c r="F24" s="48">
        <v>4</v>
      </c>
      <c r="G24" s="48">
        <v>4</v>
      </c>
      <c r="H24" s="48">
        <v>2</v>
      </c>
      <c r="I24" s="48">
        <v>3</v>
      </c>
      <c r="J24" s="48">
        <v>3</v>
      </c>
      <c r="K24" s="273"/>
      <c r="L24" s="273">
        <f>IF(E24&gt;計分版!$C$13,0,1)</f>
        <v>0</v>
      </c>
      <c r="M24" s="273">
        <f>IF(F24&gt;計分版!$D$13,0,1)</f>
        <v>0</v>
      </c>
      <c r="N24" s="273">
        <f>IF(G24&gt;計分版!$E$13,0,1)</f>
        <v>0</v>
      </c>
      <c r="O24" s="273">
        <f>IF(H24&gt;計分版!$F$13,0,1)</f>
        <v>0</v>
      </c>
      <c r="P24" s="273">
        <f>IF(計分版!$P$27=0,0,IF(I24&gt;LARGE(計分版!$G$13:$L$13,1),0,1))</f>
        <v>0</v>
      </c>
      <c r="Q24" s="273">
        <f>IF(J24&gt;LARGE(計分版!$G$13:$L$13,2),0,IF(計分版!$G$13&lt;3,2,1))</f>
        <v>0</v>
      </c>
      <c r="S24" s="273">
        <f t="shared" si="0"/>
        <v>0</v>
      </c>
    </row>
    <row r="25" spans="1:19" s="16" customFormat="1">
      <c r="A25" s="38" t="s">
        <v>310</v>
      </c>
      <c r="B25" s="38" t="s">
        <v>311</v>
      </c>
      <c r="C25" s="38" t="s">
        <v>214</v>
      </c>
      <c r="D25" s="272">
        <v>20</v>
      </c>
      <c r="E25" s="48">
        <v>3</v>
      </c>
      <c r="F25" s="48">
        <v>3</v>
      </c>
      <c r="G25" s="48">
        <v>2</v>
      </c>
      <c r="H25" s="48">
        <v>2</v>
      </c>
      <c r="I25" s="48">
        <v>3</v>
      </c>
      <c r="J25" s="48">
        <v>3</v>
      </c>
      <c r="K25" s="273"/>
      <c r="L25" s="273">
        <f>IF(E25&gt;計分版!$C$13,0,1)</f>
        <v>0</v>
      </c>
      <c r="M25" s="273">
        <f>IF(F25&gt;計分版!$D$13,0,1)</f>
        <v>0</v>
      </c>
      <c r="N25" s="273">
        <f>IF(G25&gt;計分版!$E$13,0,1)</f>
        <v>0</v>
      </c>
      <c r="O25" s="273">
        <f>IF(H25&gt;計分版!$F$13,0,1)</f>
        <v>0</v>
      </c>
      <c r="P25" s="273">
        <f>IF(計分版!$P$27=0,0,IF(I25&gt;LARGE(計分版!$G$13:$L$13,1),0,1))</f>
        <v>0</v>
      </c>
      <c r="Q25" s="273">
        <f>IF(J25&gt;LARGE(計分版!$G$13:$L$13,2),0,IF(計分版!$G$13&lt;3,2,1))</f>
        <v>0</v>
      </c>
      <c r="S25" s="273">
        <f t="shared" si="0"/>
        <v>0</v>
      </c>
    </row>
    <row r="26" spans="1:19" s="16" customFormat="1">
      <c r="A26" s="38" t="s">
        <v>312</v>
      </c>
      <c r="B26" s="38" t="s">
        <v>313</v>
      </c>
      <c r="C26" s="38" t="s">
        <v>214</v>
      </c>
      <c r="D26" s="272">
        <v>383</v>
      </c>
      <c r="E26" s="48">
        <v>3</v>
      </c>
      <c r="F26" s="48">
        <v>3</v>
      </c>
      <c r="G26" s="48">
        <v>2</v>
      </c>
      <c r="H26" s="48">
        <v>2</v>
      </c>
      <c r="I26" s="48">
        <v>3</v>
      </c>
      <c r="J26" s="48">
        <v>3</v>
      </c>
      <c r="K26" s="273"/>
      <c r="L26" s="273">
        <f>IF(E26&gt;計分版!$C$13,0,1)</f>
        <v>0</v>
      </c>
      <c r="M26" s="273">
        <f>IF(F26&gt;計分版!$D$13,0,1)</f>
        <v>0</v>
      </c>
      <c r="N26" s="273">
        <f>IF(G26&gt;計分版!$E$13,0,1)</f>
        <v>0</v>
      </c>
      <c r="O26" s="273">
        <f>IF(H26&gt;計分版!$F$13,0,1)</f>
        <v>0</v>
      </c>
      <c r="P26" s="273">
        <f>IF(計分版!$P$27=0,0,IF(I26&gt;LARGE(計分版!$G$13:$L$13,1),0,1))</f>
        <v>0</v>
      </c>
      <c r="Q26" s="273">
        <f>IF(J26&gt;LARGE(計分版!$G$13:$L$13,2),0,IF(計分版!$G$13&lt;3,2,1))</f>
        <v>0</v>
      </c>
      <c r="S26" s="273">
        <f t="shared" si="0"/>
        <v>0</v>
      </c>
    </row>
    <row r="27" spans="1:19" s="16" customFormat="1">
      <c r="A27" s="38" t="s">
        <v>245</v>
      </c>
      <c r="B27" s="38" t="s">
        <v>246</v>
      </c>
      <c r="C27" s="38" t="s">
        <v>80</v>
      </c>
      <c r="D27" s="272">
        <v>20</v>
      </c>
      <c r="E27" s="48">
        <v>4</v>
      </c>
      <c r="F27" s="48">
        <v>5</v>
      </c>
      <c r="G27" s="48">
        <v>3</v>
      </c>
      <c r="H27" s="48">
        <v>3</v>
      </c>
      <c r="I27" s="48">
        <v>3</v>
      </c>
      <c r="J27" s="48">
        <v>3</v>
      </c>
      <c r="K27" s="273"/>
      <c r="L27" s="273">
        <f>IF(E27&gt;計分版!$C$13,0,1)</f>
        <v>0</v>
      </c>
      <c r="M27" s="273">
        <f>IF(F27&gt;計分版!$D$13,0,1)</f>
        <v>0</v>
      </c>
      <c r="N27" s="273">
        <f>IF(G27&gt;計分版!$E$13,0,1)</f>
        <v>0</v>
      </c>
      <c r="O27" s="273">
        <f>IF(H27&gt;計分版!$F$13,0,1)</f>
        <v>0</v>
      </c>
      <c r="P27" s="273">
        <f>IF(I27&gt;LARGE(計分版!$G$13:$L$13,1),0,1)</f>
        <v>0</v>
      </c>
      <c r="Q27" s="273">
        <f>IF(J27&gt;LARGE(計分版!$G$13:$L$13,2),0,1)</f>
        <v>0</v>
      </c>
      <c r="S27" s="273">
        <f t="shared" si="0"/>
        <v>0</v>
      </c>
    </row>
    <row r="28" spans="1:19" s="16" customFormat="1">
      <c r="A28" s="38" t="s">
        <v>269</v>
      </c>
      <c r="B28" s="38" t="s">
        <v>169</v>
      </c>
      <c r="C28" s="38" t="s">
        <v>80</v>
      </c>
      <c r="D28" s="272">
        <v>98</v>
      </c>
      <c r="E28" s="48">
        <v>4</v>
      </c>
      <c r="F28" s="48">
        <v>5</v>
      </c>
      <c r="G28" s="48">
        <v>3</v>
      </c>
      <c r="H28" s="48">
        <v>3</v>
      </c>
      <c r="I28" s="48">
        <v>3</v>
      </c>
      <c r="J28" s="48">
        <v>3</v>
      </c>
      <c r="K28" s="273"/>
      <c r="L28" s="273">
        <f>IF(E28&gt;計分版!$C$13,0,1)</f>
        <v>0</v>
      </c>
      <c r="M28" s="273">
        <f>IF(F28&gt;計分版!$D$13,0,1)</f>
        <v>0</v>
      </c>
      <c r="N28" s="273">
        <f>IF(G28&gt;計分版!$E$13,0,1)</f>
        <v>0</v>
      </c>
      <c r="O28" s="273">
        <f>IF(H28&gt;計分版!$F$13,0,1)</f>
        <v>0</v>
      </c>
      <c r="P28" s="273">
        <f>IF(I28&gt;LARGE(計分版!$G$13:$L$13,1),0,1)</f>
        <v>0</v>
      </c>
      <c r="Q28" s="273">
        <f>IF(J28&gt;LARGE(計分版!$G$13:$L$13,2),0,1)</f>
        <v>0</v>
      </c>
      <c r="S28" s="273">
        <f t="shared" si="0"/>
        <v>0</v>
      </c>
    </row>
    <row r="29" spans="1:19" s="16" customFormat="1">
      <c r="A29" s="38" t="s">
        <v>270</v>
      </c>
      <c r="B29" s="38" t="s">
        <v>271</v>
      </c>
      <c r="C29" s="38" t="s">
        <v>80</v>
      </c>
      <c r="D29" s="272">
        <v>265</v>
      </c>
      <c r="E29" s="48">
        <v>3</v>
      </c>
      <c r="F29" s="48">
        <v>4</v>
      </c>
      <c r="G29" s="48">
        <v>2</v>
      </c>
      <c r="H29" s="48">
        <v>2</v>
      </c>
      <c r="I29" s="48">
        <v>3</v>
      </c>
      <c r="J29" s="48">
        <v>3</v>
      </c>
      <c r="K29" s="273"/>
      <c r="L29" s="273">
        <f>IF(E29&gt;計分版!$C$13,0,1)</f>
        <v>0</v>
      </c>
      <c r="M29" s="273">
        <f>IF(F29&gt;計分版!$D$13,0,1)</f>
        <v>0</v>
      </c>
      <c r="N29" s="273">
        <f>IF(G29&gt;計分版!$E$13,0,1)</f>
        <v>0</v>
      </c>
      <c r="O29" s="273">
        <f>IF(H29&gt;計分版!$F$13,0,1)</f>
        <v>0</v>
      </c>
      <c r="P29" s="273">
        <f>IF(計分版!P29=0,0,IF(I29&gt;LARGE(計分版!$G$13:$L$13,1),0,1))</f>
        <v>0</v>
      </c>
      <c r="Q29" s="273">
        <f>IF(J29&gt;LARGE(計分版!$G$13:$L$13,2),0,1)</f>
        <v>0</v>
      </c>
      <c r="S29" s="273">
        <f t="shared" si="0"/>
        <v>0</v>
      </c>
    </row>
    <row r="30" spans="1:19" s="16" customFormat="1">
      <c r="A30" s="38" t="s">
        <v>272</v>
      </c>
      <c r="B30" s="38" t="s">
        <v>273</v>
      </c>
      <c r="C30" s="38" t="s">
        <v>214</v>
      </c>
      <c r="D30" s="272">
        <v>210</v>
      </c>
      <c r="E30" s="48">
        <v>3</v>
      </c>
      <c r="F30" s="48">
        <v>3</v>
      </c>
      <c r="G30" s="48">
        <v>2</v>
      </c>
      <c r="H30" s="48">
        <v>2</v>
      </c>
      <c r="I30" s="48">
        <v>3</v>
      </c>
      <c r="J30" s="48">
        <v>3</v>
      </c>
      <c r="K30" s="273"/>
      <c r="L30" s="273">
        <f>IF(E30&gt;計分版!$C$13,0,1)</f>
        <v>0</v>
      </c>
      <c r="M30" s="273">
        <f>IF(F30&gt;計分版!$D$13,0,1)</f>
        <v>0</v>
      </c>
      <c r="N30" s="273">
        <f>IF(G30&gt;計分版!$E$13,0,1)</f>
        <v>0</v>
      </c>
      <c r="O30" s="273">
        <f>IF(H30&gt;計分版!$F$13,0,1)</f>
        <v>0</v>
      </c>
      <c r="P30" s="273">
        <f>IF(I30&gt;LARGE(計分版!$G$13:$L$13,1),0,1)</f>
        <v>0</v>
      </c>
      <c r="Q30" s="273">
        <f>IF(J30&gt;LARGE(計分版!$G$13:$L$13,2),0,1)</f>
        <v>0</v>
      </c>
      <c r="S30" s="273">
        <f t="shared" si="0"/>
        <v>0</v>
      </c>
    </row>
    <row r="31" spans="1:19" s="16" customFormat="1">
      <c r="A31" s="38" t="s">
        <v>274</v>
      </c>
      <c r="B31" s="38" t="s">
        <v>275</v>
      </c>
      <c r="C31" s="38" t="s">
        <v>214</v>
      </c>
      <c r="D31" s="272">
        <v>24</v>
      </c>
      <c r="E31" s="48">
        <v>3</v>
      </c>
      <c r="F31" s="48">
        <v>3</v>
      </c>
      <c r="G31" s="48">
        <v>2</v>
      </c>
      <c r="H31" s="48">
        <v>2</v>
      </c>
      <c r="I31" s="48">
        <v>3</v>
      </c>
      <c r="J31" s="48">
        <v>3</v>
      </c>
      <c r="K31" s="273"/>
      <c r="L31" s="273">
        <f>IF(E31&gt;計分版!$C$13,0,1)</f>
        <v>0</v>
      </c>
      <c r="M31" s="273">
        <f>IF(F31&gt;計分版!$D$13,0,1)</f>
        <v>0</v>
      </c>
      <c r="N31" s="273">
        <f>IF(G31&gt;計分版!$E$13,0,1)</f>
        <v>0</v>
      </c>
      <c r="O31" s="273">
        <f>IF(H31&gt;計分版!$F$13,0,1)</f>
        <v>0</v>
      </c>
      <c r="P31" s="273">
        <f>IF(計分版!$P$23=0,0,IF(I30&gt;LARGE(計分版!$G$13:$L$13,1),0,1))</f>
        <v>0</v>
      </c>
      <c r="Q31" s="273">
        <f>IF(J31&gt;LARGE(計分版!$G$13:$L$13,2),0,1)</f>
        <v>0</v>
      </c>
      <c r="S31" s="273">
        <f>L31*M31*N31*O31*P31*Q31</f>
        <v>0</v>
      </c>
    </row>
    <row r="32" spans="1:19" s="16" customFormat="1">
      <c r="A32" s="38" t="s">
        <v>276</v>
      </c>
      <c r="B32" s="38" t="s">
        <v>277</v>
      </c>
      <c r="C32" s="38" t="s">
        <v>80</v>
      </c>
      <c r="D32" s="272">
        <v>30</v>
      </c>
      <c r="E32" s="48">
        <v>3</v>
      </c>
      <c r="F32" s="48">
        <v>4</v>
      </c>
      <c r="G32" s="48">
        <v>2</v>
      </c>
      <c r="H32" s="48">
        <v>2</v>
      </c>
      <c r="I32" s="48">
        <v>3</v>
      </c>
      <c r="J32" s="48">
        <v>3</v>
      </c>
      <c r="K32" s="273"/>
      <c r="L32" s="273">
        <f>IF(E32&gt;計分版!$C$13,0,1)</f>
        <v>0</v>
      </c>
      <c r="M32" s="273">
        <f>IF(F32&gt;計分版!$D$13,0,1)</f>
        <v>0</v>
      </c>
      <c r="N32" s="273">
        <f>IF(G32&gt;計分版!$E$13,0,1)</f>
        <v>0</v>
      </c>
      <c r="O32" s="273">
        <f>IF(H32&gt;計分版!$F$13,0,1)</f>
        <v>0</v>
      </c>
      <c r="P32" s="273">
        <f>IF(計分版!P29=0,0,IF(I32&gt;LARGE(計分版!$G$13:$L$13,1),0,1))</f>
        <v>0</v>
      </c>
      <c r="Q32" s="273">
        <f>IF(J32&gt;LARGE(計分版!$G$13:$L$13,2),0,1)</f>
        <v>0</v>
      </c>
      <c r="S32" s="273">
        <f>L32*M32*N32*O32*P32*Q32</f>
        <v>0</v>
      </c>
    </row>
    <row r="33" spans="1:26">
      <c r="A33" s="38" t="s">
        <v>308</v>
      </c>
      <c r="B33" s="38" t="s">
        <v>309</v>
      </c>
      <c r="C33" s="38" t="s">
        <v>80</v>
      </c>
      <c r="D33" s="272">
        <v>35</v>
      </c>
      <c r="E33" s="48">
        <v>3</v>
      </c>
      <c r="F33" s="48">
        <v>4</v>
      </c>
      <c r="G33" s="48">
        <v>2</v>
      </c>
      <c r="H33" s="48">
        <v>2</v>
      </c>
      <c r="I33" s="48">
        <v>3</v>
      </c>
      <c r="J33" s="48">
        <v>3</v>
      </c>
      <c r="K33" s="273"/>
      <c r="L33" s="273">
        <f>IF(E33&gt;計分版!$C$13,0,1)</f>
        <v>0</v>
      </c>
      <c r="M33" s="273">
        <f>IF(F33&gt;計分版!$D$13,0,1)</f>
        <v>0</v>
      </c>
      <c r="N33" s="273">
        <f>IF(G33&gt;計分版!$E$13,0,1)</f>
        <v>0</v>
      </c>
      <c r="O33" s="273">
        <f>IF(H33&gt;計分版!$F$13,0,1)</f>
        <v>0</v>
      </c>
      <c r="P33" s="273">
        <f>IF(計分版!P214=0,0,IF(I33&gt;LARGE(計分版!$G$13:$L$13,1),0,1))</f>
        <v>0</v>
      </c>
      <c r="Q33" s="273">
        <f>IF(J33&gt;LARGE(計分版!$G$13:$L$13,2),0,1)</f>
        <v>0</v>
      </c>
      <c r="S33" s="273">
        <f>L33*M33*N33*O33*P33*Q33</f>
        <v>0</v>
      </c>
      <c r="T33" s="16"/>
      <c r="U33" s="16"/>
      <c r="V33" s="16"/>
      <c r="W33" s="16"/>
      <c r="X33" s="16"/>
      <c r="Y33" s="16"/>
      <c r="Z33" s="16"/>
    </row>
    <row r="34" spans="1:26">
      <c r="A34" s="38" t="s">
        <v>280</v>
      </c>
      <c r="B34" s="38" t="s">
        <v>281</v>
      </c>
      <c r="C34" s="38" t="s">
        <v>80</v>
      </c>
      <c r="D34" s="272">
        <v>61</v>
      </c>
      <c r="E34" s="48">
        <v>3</v>
      </c>
      <c r="F34" s="48">
        <v>3</v>
      </c>
      <c r="G34" s="48">
        <v>4</v>
      </c>
      <c r="H34" s="48">
        <v>2</v>
      </c>
      <c r="I34" s="48">
        <v>3</v>
      </c>
      <c r="J34" s="48">
        <v>3</v>
      </c>
      <c r="K34" s="273"/>
      <c r="L34" s="273">
        <f>IF(E34&gt;計分版!$C$13,0,1)</f>
        <v>0</v>
      </c>
      <c r="M34" s="273">
        <f>IF(F34&gt;計分版!$D$13,0,1)</f>
        <v>0</v>
      </c>
      <c r="N34" s="273">
        <f>IF(G34&gt;計分版!$E$13,0,1)</f>
        <v>0</v>
      </c>
      <c r="O34" s="273">
        <f>IF(H34&gt;計分版!$F$13,0,1)</f>
        <v>0</v>
      </c>
      <c r="P34" s="273">
        <f>IF(I34&gt;LARGE(計分版!$G$13:$L$13,1),0,1)</f>
        <v>0</v>
      </c>
      <c r="Q34" s="273">
        <f>IF(計分版!$G$13&lt;3,0,IF(J34&gt;LARGE(計分版!$G$13:$L$13,2),0,1))</f>
        <v>0</v>
      </c>
      <c r="S34" s="273">
        <f>L34*M34*N34*O34*P34*Q34</f>
        <v>0</v>
      </c>
      <c r="T34" s="16"/>
      <c r="U34" s="16"/>
      <c r="V34" s="16"/>
      <c r="W34" s="16"/>
      <c r="X34" s="16"/>
      <c r="Y34" s="16"/>
      <c r="Z34" s="16"/>
    </row>
    <row r="35" spans="1:26">
      <c r="A35" s="38" t="s">
        <v>302</v>
      </c>
      <c r="B35" s="38" t="s">
        <v>303</v>
      </c>
      <c r="C35" s="38" t="s">
        <v>214</v>
      </c>
      <c r="D35" s="272">
        <v>336</v>
      </c>
      <c r="E35" s="48">
        <v>3</v>
      </c>
      <c r="F35" s="48">
        <v>3</v>
      </c>
      <c r="G35" s="48">
        <v>2</v>
      </c>
      <c r="H35" s="48">
        <v>2</v>
      </c>
      <c r="I35" s="48">
        <v>3</v>
      </c>
      <c r="J35" s="48">
        <v>3</v>
      </c>
      <c r="K35" s="273"/>
      <c r="L35" s="273">
        <f>IF(E35&gt;計分版!$C$13,0,1)</f>
        <v>0</v>
      </c>
      <c r="M35" s="273">
        <f>IF(F35&gt;計分版!$D$13,0,1)</f>
        <v>0</v>
      </c>
      <c r="N35" s="273">
        <f>IF(G35&gt;計分版!$E$13,0,1)</f>
        <v>0</v>
      </c>
      <c r="O35" s="273">
        <f>IF(H35&gt;計分版!$F$13,0,1)</f>
        <v>0</v>
      </c>
      <c r="P35" s="273">
        <f>IF(計分版!$P$23=0,0,IF(I34&gt;LARGE(計分版!$G$13:$L$13,1),0,1))</f>
        <v>0</v>
      </c>
      <c r="Q35" s="273">
        <f>IF(J35&gt;LARGE(計分版!$G$13:$L$13,2),0,1)</f>
        <v>0</v>
      </c>
      <c r="S35" s="273">
        <f>L35*M35*N35*O35*P35*Q35</f>
        <v>0</v>
      </c>
      <c r="T35" s="16"/>
      <c r="U35" s="16"/>
      <c r="V35" s="16"/>
      <c r="W35" s="16"/>
      <c r="X35" s="16"/>
      <c r="Y35" s="16"/>
      <c r="Z35" s="16"/>
    </row>
    <row r="36" spans="1:26">
      <c r="A36" s="38" t="s">
        <v>278</v>
      </c>
      <c r="B36" s="38" t="s">
        <v>279</v>
      </c>
      <c r="C36" s="38" t="s">
        <v>214</v>
      </c>
      <c r="D36" s="272">
        <v>179</v>
      </c>
      <c r="E36" s="48">
        <v>3</v>
      </c>
      <c r="F36" s="48">
        <v>3</v>
      </c>
      <c r="G36" s="48">
        <v>2</v>
      </c>
      <c r="H36" s="48">
        <v>2</v>
      </c>
      <c r="I36" s="48">
        <v>3</v>
      </c>
      <c r="J36" s="48">
        <v>3</v>
      </c>
      <c r="K36" s="273"/>
      <c r="L36" s="273">
        <f>IF(E36&gt;計分版!$C$13,0,1)</f>
        <v>0</v>
      </c>
      <c r="M36" s="273">
        <f>IF(F36&gt;計分版!$D$13,0,1)</f>
        <v>0</v>
      </c>
      <c r="N36" s="273">
        <f>IF(G36&gt;計分版!$E$13,0,1)</f>
        <v>0</v>
      </c>
      <c r="O36" s="273">
        <f>IF(H36&gt;計分版!$F$13,0,1)</f>
        <v>0</v>
      </c>
      <c r="P36" s="273">
        <f>IF(I36&gt;LARGE(計分版!$G$13:$L$13,1),0,1)</f>
        <v>0</v>
      </c>
      <c r="Q36" s="273">
        <f>IF(J36&gt;LARGE(計分版!$G$13:$L$13,2),0,1)</f>
        <v>0</v>
      </c>
      <c r="S36" s="273">
        <f t="shared" si="0"/>
        <v>0</v>
      </c>
      <c r="T36" s="16"/>
      <c r="U36" s="16"/>
      <c r="V36" s="16"/>
      <c r="W36" s="16"/>
      <c r="X36" s="16"/>
      <c r="Y36" s="16"/>
      <c r="Z36" s="16"/>
    </row>
    <row r="37" spans="1:26">
      <c r="A37" s="38" t="s">
        <v>282</v>
      </c>
      <c r="B37" s="38" t="s">
        <v>283</v>
      </c>
      <c r="C37" s="38" t="s">
        <v>214</v>
      </c>
      <c r="D37" s="272">
        <v>35</v>
      </c>
      <c r="E37" s="48">
        <v>3</v>
      </c>
      <c r="F37" s="48">
        <v>3</v>
      </c>
      <c r="G37" s="48">
        <v>2</v>
      </c>
      <c r="H37" s="48">
        <v>2</v>
      </c>
      <c r="I37" s="48">
        <v>3</v>
      </c>
      <c r="J37" s="48">
        <v>3</v>
      </c>
      <c r="K37" s="273"/>
      <c r="L37" s="273">
        <f>IF(E37&gt;計分版!$C$13,0,1)</f>
        <v>0</v>
      </c>
      <c r="M37" s="273">
        <f>IF(F37&gt;計分版!$D$13,0,1)</f>
        <v>0</v>
      </c>
      <c r="N37" s="273">
        <f>IF(G37&gt;計分版!$E$13,0,1)</f>
        <v>0</v>
      </c>
      <c r="O37" s="273">
        <f>IF(H37&gt;計分版!$F$13,0,1)</f>
        <v>0</v>
      </c>
      <c r="P37" s="273">
        <f>IF(I37&gt;LARGE(計分版!$G$13:$L$13,1),0,1)</f>
        <v>0</v>
      </c>
      <c r="Q37" s="273">
        <f>IF(J37&gt;LARGE(計分版!$G$13:$L$13,2),0,1)</f>
        <v>0</v>
      </c>
      <c r="S37" s="273">
        <f t="shared" si="0"/>
        <v>0</v>
      </c>
      <c r="T37" s="16"/>
      <c r="U37" s="16"/>
      <c r="V37" s="16"/>
      <c r="W37" s="16"/>
      <c r="X37" s="16"/>
      <c r="Y37" s="16"/>
      <c r="Z37" s="16"/>
    </row>
    <row r="38" spans="1:26">
      <c r="A38" s="38" t="s">
        <v>292</v>
      </c>
      <c r="B38" s="38" t="s">
        <v>293</v>
      </c>
      <c r="C38" s="38" t="s">
        <v>80</v>
      </c>
      <c r="D38" s="272">
        <v>50</v>
      </c>
      <c r="E38" s="48">
        <v>4</v>
      </c>
      <c r="F38" s="48">
        <v>5</v>
      </c>
      <c r="G38" s="48">
        <v>3</v>
      </c>
      <c r="H38" s="48">
        <v>3</v>
      </c>
      <c r="I38" s="48">
        <v>3</v>
      </c>
      <c r="J38" s="48">
        <v>3</v>
      </c>
      <c r="K38" s="273"/>
      <c r="L38" s="273">
        <f>IF(E38&gt;計分版!$C$13,0,1)</f>
        <v>0</v>
      </c>
      <c r="M38" s="273">
        <f>IF(F38&gt;計分版!$D$13,0,1)</f>
        <v>0</v>
      </c>
      <c r="N38" s="273">
        <f>IF(G38&gt;計分版!$E$13,0,1)</f>
        <v>0</v>
      </c>
      <c r="O38" s="273">
        <f>IF(H38&gt;計分版!$F$13,0,1)</f>
        <v>0</v>
      </c>
      <c r="P38" s="273">
        <f>IF(I38&gt;LARGE(計分版!$G$13:$L$13,1),0,1)</f>
        <v>0</v>
      </c>
      <c r="Q38" s="273">
        <f>IF(J38&gt;LARGE(計分版!$G$13:$L$13,2),0,1)</f>
        <v>0</v>
      </c>
      <c r="S38" s="273">
        <f t="shared" si="0"/>
        <v>0</v>
      </c>
      <c r="T38" s="16"/>
      <c r="U38" s="16"/>
      <c r="V38" s="16"/>
      <c r="W38" s="16"/>
      <c r="X38" s="16"/>
      <c r="Y38" s="16"/>
      <c r="Z38" s="16"/>
    </row>
    <row r="39" spans="1:26">
      <c r="A39" s="38" t="s">
        <v>294</v>
      </c>
      <c r="B39" s="38" t="s">
        <v>295</v>
      </c>
      <c r="C39" s="38" t="s">
        <v>214</v>
      </c>
      <c r="D39" s="272">
        <v>21</v>
      </c>
      <c r="E39" s="48">
        <v>3</v>
      </c>
      <c r="F39" s="48">
        <v>3</v>
      </c>
      <c r="G39" s="48">
        <v>2</v>
      </c>
      <c r="H39" s="48">
        <v>2</v>
      </c>
      <c r="I39" s="48">
        <v>3</v>
      </c>
      <c r="J39" s="48">
        <v>3</v>
      </c>
      <c r="K39" s="273"/>
      <c r="L39" s="273">
        <f>IF(E39&gt;計分版!$C$13,0,1)</f>
        <v>0</v>
      </c>
      <c r="M39" s="273">
        <f>IF(F39&gt;計分版!$D$13,0,1)</f>
        <v>0</v>
      </c>
      <c r="N39" s="273">
        <f>IF(G39&gt;計分版!$E$13,0,1)</f>
        <v>0</v>
      </c>
      <c r="O39" s="273">
        <f>IF(H39&gt;計分版!$F$13,0,1)</f>
        <v>0</v>
      </c>
      <c r="P39" s="273">
        <f>IF(I39&gt;LARGE(計分版!$G$13:$L$13,1),0,1)</f>
        <v>0</v>
      </c>
      <c r="Q39" s="273">
        <f>IF(J39&gt;LARGE(計分版!$G$13:$L$13,2),0,1)</f>
        <v>0</v>
      </c>
      <c r="S39" s="273">
        <f t="shared" si="0"/>
        <v>0</v>
      </c>
      <c r="T39" s="16"/>
      <c r="U39" s="16"/>
      <c r="V39" s="16"/>
      <c r="W39" s="16"/>
      <c r="X39" s="16"/>
      <c r="Y39" s="16"/>
      <c r="Z39" s="16"/>
    </row>
    <row r="40" spans="1:26">
      <c r="A40" s="38" t="s">
        <v>259</v>
      </c>
      <c r="B40" s="39" t="s">
        <v>260</v>
      </c>
      <c r="C40" s="38" t="s">
        <v>214</v>
      </c>
      <c r="D40" s="272">
        <v>224</v>
      </c>
      <c r="E40" s="48">
        <v>3</v>
      </c>
      <c r="F40" s="48">
        <v>5</v>
      </c>
      <c r="G40" s="48">
        <v>2</v>
      </c>
      <c r="H40" s="48">
        <v>2</v>
      </c>
      <c r="I40" s="48">
        <v>3</v>
      </c>
      <c r="J40" s="48">
        <v>3</v>
      </c>
      <c r="K40" s="273"/>
      <c r="L40" s="273">
        <f>IF(E40&gt;計分版!$C$13,0,1)</f>
        <v>0</v>
      </c>
      <c r="M40" s="273">
        <f>IF(計分版!$D$13=4.0000000002,2,IF(F40&gt;計分版!$D$13,0,1))</f>
        <v>0</v>
      </c>
      <c r="N40" s="273">
        <f>IF(G40&gt;計分版!$E$13,0,1)</f>
        <v>0</v>
      </c>
      <c r="O40" s="273">
        <f>IF(H40&gt;計分版!$F$13,0,1)</f>
        <v>0</v>
      </c>
      <c r="P40" s="273">
        <f>IF(I40&gt;LARGE(計分版!$G$13:$L$13,1),0,1)</f>
        <v>0</v>
      </c>
      <c r="Q40" s="273">
        <f>IF(J40&gt;LARGE(計分版!$G$13:$L$13,2),0,IF(計分版!$G$13&lt;3,2,1))</f>
        <v>0</v>
      </c>
      <c r="S40" s="273">
        <f>IF(L40*M40*N40*O40*P40*Q40=4,2,L40*M40*N40*O40*P40*Q40)</f>
        <v>0</v>
      </c>
      <c r="T40" s="16"/>
      <c r="U40" s="16"/>
      <c r="V40" s="16"/>
      <c r="W40" s="16"/>
      <c r="X40" s="16"/>
      <c r="Y40" s="16"/>
      <c r="Z40" s="16"/>
    </row>
    <row r="41" spans="1:26">
      <c r="A41" s="38" t="s">
        <v>261</v>
      </c>
      <c r="B41" s="38" t="s">
        <v>262</v>
      </c>
      <c r="C41" s="38" t="s">
        <v>214</v>
      </c>
      <c r="D41" s="272">
        <v>15</v>
      </c>
      <c r="E41" s="48">
        <v>3</v>
      </c>
      <c r="F41" s="48">
        <v>5</v>
      </c>
      <c r="G41" s="48">
        <v>4</v>
      </c>
      <c r="H41" s="48">
        <v>2</v>
      </c>
      <c r="I41" s="48">
        <v>3</v>
      </c>
      <c r="J41" s="48">
        <v>3</v>
      </c>
      <c r="K41" s="273"/>
      <c r="L41" s="273">
        <f>IF(E41&gt;計分版!$C$13,0,1)</f>
        <v>0</v>
      </c>
      <c r="M41" s="273">
        <f>IF(計分版!$D$13=4.0000000002,2,IF(F41&gt;計分版!$D$13,0,1))</f>
        <v>0</v>
      </c>
      <c r="N41" s="273">
        <f>IF(G41&gt;計分版!$E$13,0,1)</f>
        <v>0</v>
      </c>
      <c r="O41" s="273">
        <f>IF(H41&gt;計分版!$F$13,0,1)</f>
        <v>0</v>
      </c>
      <c r="P41" s="273">
        <f>IF(I41&gt;LARGE(計分版!$G$13:$L$13,1),0,1)</f>
        <v>0</v>
      </c>
      <c r="Q41" s="273">
        <f>IF(計分版!$G$13&lt;3,0,IF(J41&gt;LARGE(計分版!$G$13:$L$13,2),0,1))</f>
        <v>0</v>
      </c>
      <c r="S41" s="273">
        <f t="shared" ref="S41:S44" si="1">IF(L41*M41*N41*O41*P41*Q41=4,2,L41*M41*N41*O41*P41*Q41)</f>
        <v>0</v>
      </c>
      <c r="T41" s="16"/>
      <c r="U41" s="16"/>
      <c r="V41" s="16"/>
      <c r="W41" s="16"/>
      <c r="X41" s="16"/>
      <c r="Y41" s="16"/>
      <c r="Z41" s="16"/>
    </row>
    <row r="42" spans="1:26">
      <c r="A42" s="38" t="s">
        <v>263</v>
      </c>
      <c r="B42" s="38" t="s">
        <v>264</v>
      </c>
      <c r="C42" s="38" t="s">
        <v>427</v>
      </c>
      <c r="D42" s="272">
        <v>15</v>
      </c>
      <c r="E42" s="48">
        <v>3</v>
      </c>
      <c r="F42" s="48">
        <v>5</v>
      </c>
      <c r="G42" s="48">
        <v>2</v>
      </c>
      <c r="H42" s="48">
        <v>2</v>
      </c>
      <c r="I42" s="48">
        <v>3</v>
      </c>
      <c r="J42" s="48">
        <v>3</v>
      </c>
      <c r="K42" s="273"/>
      <c r="L42" s="273">
        <f>IF(E42&gt;計分版!$C$13,0,1)</f>
        <v>0</v>
      </c>
      <c r="M42" s="273">
        <f>IF(計分版!$D$13=4.0000000002,2,IF(F42&gt;計分版!$D$13,0,1))</f>
        <v>0</v>
      </c>
      <c r="N42" s="273">
        <f>IF(G42&gt;計分版!$E$13,0,1)</f>
        <v>0</v>
      </c>
      <c r="O42" s="273">
        <f>IF(H42&gt;計分版!$F$13,0,1)</f>
        <v>0</v>
      </c>
      <c r="P42" s="273">
        <f>IF(I42&gt;LARGE(計分版!$G$13:$L$13,1),0,1)</f>
        <v>0</v>
      </c>
      <c r="Q42" s="273">
        <f>IF(J42&gt;LARGE(計分版!$G$13:$L$13,2),0,1)</f>
        <v>0</v>
      </c>
      <c r="S42" s="273">
        <f t="shared" si="1"/>
        <v>0</v>
      </c>
      <c r="T42" s="16"/>
      <c r="U42" s="16"/>
      <c r="V42" s="16"/>
      <c r="W42" s="16"/>
      <c r="X42" s="16"/>
      <c r="Y42" s="16"/>
      <c r="Z42" s="16"/>
    </row>
    <row r="43" spans="1:26">
      <c r="A43" s="38" t="s">
        <v>265</v>
      </c>
      <c r="B43" s="38" t="s">
        <v>266</v>
      </c>
      <c r="C43" s="38" t="s">
        <v>80</v>
      </c>
      <c r="D43" s="272">
        <v>24</v>
      </c>
      <c r="E43" s="48">
        <v>3</v>
      </c>
      <c r="F43" s="48">
        <v>5</v>
      </c>
      <c r="G43" s="48">
        <v>3</v>
      </c>
      <c r="H43" s="48">
        <v>2</v>
      </c>
      <c r="I43" s="48">
        <v>3</v>
      </c>
      <c r="J43" s="48">
        <v>3</v>
      </c>
      <c r="K43" s="273"/>
      <c r="L43" s="273">
        <f>IF(E43&gt;計分版!$C$13,0,1)</f>
        <v>0</v>
      </c>
      <c r="M43" s="273">
        <f>IF(計分版!$D$13=4.0000000002,2,IF(F43&gt;計分版!$D$13,0,1))</f>
        <v>0</v>
      </c>
      <c r="N43" s="273">
        <f>IF(G43&gt;計分版!$E$13,0,1)</f>
        <v>0</v>
      </c>
      <c r="O43" s="273">
        <f>IF(H43&gt;計分版!$F$13,0,1)</f>
        <v>0</v>
      </c>
      <c r="P43" s="273">
        <f>IF(I43&gt;LARGE(計分版!$G$13:$L$13,1),0,1)</f>
        <v>0</v>
      </c>
      <c r="Q43" s="273">
        <f>IF(計分版!$G$13&lt;3,0,IF(J43&gt;LARGE(計分版!$G$13:$L$13,2),0,1))</f>
        <v>0</v>
      </c>
      <c r="S43" s="273">
        <f t="shared" si="1"/>
        <v>0</v>
      </c>
      <c r="T43" s="16"/>
      <c r="U43" s="16"/>
      <c r="V43" s="16"/>
      <c r="W43" s="16"/>
      <c r="X43" s="16"/>
      <c r="Y43" s="16"/>
      <c r="Z43" s="16"/>
    </row>
    <row r="44" spans="1:26">
      <c r="A44" s="38" t="s">
        <v>267</v>
      </c>
      <c r="B44" s="38" t="s">
        <v>268</v>
      </c>
      <c r="C44" s="38" t="s">
        <v>80</v>
      </c>
      <c r="D44" s="272">
        <v>20</v>
      </c>
      <c r="E44" s="48">
        <v>3</v>
      </c>
      <c r="F44" s="48">
        <v>5</v>
      </c>
      <c r="G44" s="48">
        <v>2</v>
      </c>
      <c r="H44" s="48">
        <v>2</v>
      </c>
      <c r="I44" s="48">
        <v>3</v>
      </c>
      <c r="J44" s="48">
        <v>3</v>
      </c>
      <c r="K44" s="273"/>
      <c r="L44" s="273">
        <f>IF(E44&gt;計分版!$C$13,0,1)</f>
        <v>0</v>
      </c>
      <c r="M44" s="273">
        <f>IF(計分版!$D$13=4.0000000002,2,IF(F44&gt;計分版!$D$13,0,1))</f>
        <v>0</v>
      </c>
      <c r="N44" s="273">
        <f>IF(G44&gt;計分版!$E$13,0,1)</f>
        <v>0</v>
      </c>
      <c r="O44" s="273">
        <f>IF(H44&gt;計分版!$F$13,0,1)</f>
        <v>0</v>
      </c>
      <c r="P44" s="273">
        <f>IF(I44&gt;LARGE(計分版!$G$13:$L$13,1),0,1)</f>
        <v>0</v>
      </c>
      <c r="Q44" s="273">
        <f>IF(J44&gt;LARGE(計分版!$G$13:$L$13,2),0,1)</f>
        <v>0</v>
      </c>
      <c r="S44" s="273">
        <f t="shared" si="1"/>
        <v>0</v>
      </c>
      <c r="T44" s="16"/>
      <c r="U44" s="16"/>
      <c r="V44" s="16"/>
      <c r="W44" s="16"/>
      <c r="X44" s="16"/>
      <c r="Y44" s="16"/>
      <c r="Z44" s="16"/>
    </row>
    <row r="45" spans="1:26">
      <c r="A45" s="42"/>
    </row>
    <row r="46" spans="1:26">
      <c r="A46" s="42"/>
    </row>
    <row r="47" spans="1:26">
      <c r="A47" s="42" t="s">
        <v>218</v>
      </c>
    </row>
    <row r="48" spans="1:26">
      <c r="A48" s="42" t="s">
        <v>228</v>
      </c>
      <c r="B48" s="42" t="s">
        <v>400</v>
      </c>
      <c r="C48" s="42" t="s">
        <v>229</v>
      </c>
      <c r="D48" s="56" t="s">
        <v>394</v>
      </c>
      <c r="E48" s="56" t="s">
        <v>405</v>
      </c>
      <c r="F48" s="56" t="s">
        <v>406</v>
      </c>
      <c r="G48" s="56" t="s">
        <v>407</v>
      </c>
      <c r="H48" s="56" t="s">
        <v>408</v>
      </c>
      <c r="I48" s="56" t="s">
        <v>409</v>
      </c>
      <c r="J48" s="56" t="s">
        <v>410</v>
      </c>
      <c r="K48" s="42"/>
      <c r="L48" s="56" t="s">
        <v>405</v>
      </c>
      <c r="M48" s="56" t="s">
        <v>406</v>
      </c>
      <c r="N48" s="56" t="s">
        <v>407</v>
      </c>
      <c r="O48" s="56" t="s">
        <v>408</v>
      </c>
      <c r="P48" s="56" t="s">
        <v>409</v>
      </c>
      <c r="Q48" s="56" t="s">
        <v>410</v>
      </c>
      <c r="R48" s="273"/>
      <c r="T48" s="16"/>
      <c r="U48" s="16"/>
      <c r="V48" s="16"/>
      <c r="W48" s="16"/>
      <c r="X48" s="16"/>
      <c r="Y48" s="16"/>
      <c r="Z48" s="16"/>
    </row>
    <row r="49" spans="1:26">
      <c r="A49" s="16" t="s">
        <v>94</v>
      </c>
      <c r="B49" s="16" t="s">
        <v>95</v>
      </c>
      <c r="C49" s="16" t="s">
        <v>214</v>
      </c>
      <c r="D49" s="273">
        <v>20</v>
      </c>
      <c r="E49" s="273">
        <v>3</v>
      </c>
      <c r="F49" s="273">
        <v>3</v>
      </c>
      <c r="G49" s="273">
        <v>2</v>
      </c>
      <c r="H49" s="273">
        <v>2</v>
      </c>
      <c r="I49" s="273">
        <v>3</v>
      </c>
      <c r="J49" s="273">
        <v>3</v>
      </c>
      <c r="L49" s="273">
        <f>IF(E49&gt;計分版!$C$13,0,1)</f>
        <v>0</v>
      </c>
      <c r="M49" s="273">
        <f>IF(F49&gt;計分版!$D$13,0,1)</f>
        <v>0</v>
      </c>
      <c r="N49" s="273">
        <f>IF(G49&gt;計分版!$E$13,0,1)</f>
        <v>0</v>
      </c>
      <c r="O49" s="273">
        <f>IF(H49&gt;計分版!$F$13,0,1)</f>
        <v>0</v>
      </c>
      <c r="P49" s="273">
        <f>IF(I49&gt;LARGE(計分版!$G$13:$L$13,1),0,1)</f>
        <v>0</v>
      </c>
      <c r="Q49" s="273">
        <f>IF(J49&gt;LARGE(計分版!$G$13:$L$13,2),0,1)</f>
        <v>0</v>
      </c>
      <c r="R49" s="273"/>
      <c r="S49" s="273">
        <f t="shared" ref="S49:S80" si="2">L49*M49*N49*O49*P49*Q49</f>
        <v>0</v>
      </c>
      <c r="T49" s="16"/>
      <c r="U49" s="16"/>
      <c r="V49" s="16"/>
      <c r="W49" s="16"/>
      <c r="X49" s="16"/>
      <c r="Y49" s="16"/>
      <c r="Z49" s="16"/>
    </row>
    <row r="50" spans="1:26">
      <c r="A50" s="16" t="s">
        <v>96</v>
      </c>
      <c r="B50" s="16" t="s">
        <v>97</v>
      </c>
      <c r="C50" s="16" t="s">
        <v>214</v>
      </c>
      <c r="D50" s="273">
        <v>80</v>
      </c>
      <c r="E50" s="273">
        <v>3</v>
      </c>
      <c r="F50" s="273">
        <v>3</v>
      </c>
      <c r="G50" s="273">
        <v>2</v>
      </c>
      <c r="H50" s="273">
        <v>2</v>
      </c>
      <c r="I50" s="273">
        <v>3</v>
      </c>
      <c r="J50" s="273">
        <v>3</v>
      </c>
      <c r="L50" s="273">
        <f>IF(E50&gt;計分版!$C$13,0,1)</f>
        <v>0</v>
      </c>
      <c r="M50" s="273">
        <f>IF(F50&gt;計分版!$D$13,0,1)</f>
        <v>0</v>
      </c>
      <c r="N50" s="273">
        <f>IF(G50&gt;計分版!$E$13,0,1)</f>
        <v>0</v>
      </c>
      <c r="O50" s="273">
        <f>IF(H50&gt;計分版!$F$13,0,1)</f>
        <v>0</v>
      </c>
      <c r="P50" s="273">
        <f>IF(I50&gt;LARGE(計分版!$G$13:$L$13,1),0,1)</f>
        <v>0</v>
      </c>
      <c r="Q50" s="273">
        <f>IF(J50&gt;LARGE(計分版!$G$13:$L$13,2),0,1)</f>
        <v>0</v>
      </c>
      <c r="R50" s="273"/>
      <c r="S50" s="273">
        <f t="shared" si="2"/>
        <v>0</v>
      </c>
      <c r="T50" s="16"/>
      <c r="U50" s="16"/>
      <c r="V50" s="16"/>
      <c r="W50" s="16"/>
      <c r="X50" s="16"/>
      <c r="Y50" s="16"/>
      <c r="Z50" s="16"/>
    </row>
    <row r="51" spans="1:26">
      <c r="A51" s="16" t="s">
        <v>98</v>
      </c>
      <c r="B51" s="16" t="s">
        <v>99</v>
      </c>
      <c r="C51" s="16" t="s">
        <v>214</v>
      </c>
      <c r="D51" s="273">
        <v>17</v>
      </c>
      <c r="E51" s="273">
        <v>3</v>
      </c>
      <c r="F51" s="273">
        <v>3</v>
      </c>
      <c r="G51" s="273">
        <v>2</v>
      </c>
      <c r="H51" s="273">
        <v>2</v>
      </c>
      <c r="I51" s="273">
        <v>3</v>
      </c>
      <c r="J51" s="273">
        <v>3</v>
      </c>
      <c r="L51" s="273">
        <f>IF(E51&gt;計分版!$C$13,0,1)</f>
        <v>0</v>
      </c>
      <c r="M51" s="273">
        <f>IF(F51&gt;計分版!$D$13,0,1)</f>
        <v>0</v>
      </c>
      <c r="N51" s="273">
        <f>IF(G51&gt;計分版!$E$13,0,1)</f>
        <v>0</v>
      </c>
      <c r="O51" s="273">
        <f>IF(H51&gt;計分版!$F$13,0,1)</f>
        <v>0</v>
      </c>
      <c r="P51" s="273">
        <f>IF(I51&gt;LARGE(計分版!$G$13:$L$13,1),0,1)</f>
        <v>0</v>
      </c>
      <c r="Q51" s="273">
        <f>IF(J51&gt;LARGE(計分版!$G$13:$L$13,2),0,1)</f>
        <v>0</v>
      </c>
      <c r="R51" s="273"/>
      <c r="S51" s="273">
        <f t="shared" si="2"/>
        <v>0</v>
      </c>
      <c r="T51" s="16"/>
      <c r="U51" s="16"/>
      <c r="V51" s="16"/>
      <c r="W51" s="16"/>
      <c r="X51" s="16"/>
      <c r="Y51" s="16"/>
      <c r="Z51" s="16"/>
    </row>
    <row r="52" spans="1:26">
      <c r="A52" s="16" t="s">
        <v>100</v>
      </c>
      <c r="B52" s="16" t="s">
        <v>101</v>
      </c>
      <c r="C52" s="16" t="s">
        <v>214</v>
      </c>
      <c r="D52" s="273">
        <v>21</v>
      </c>
      <c r="E52" s="273">
        <v>3</v>
      </c>
      <c r="F52" s="273">
        <v>3</v>
      </c>
      <c r="G52" s="273">
        <v>2</v>
      </c>
      <c r="H52" s="273">
        <v>2</v>
      </c>
      <c r="I52" s="273">
        <v>3</v>
      </c>
      <c r="J52" s="273">
        <v>3</v>
      </c>
      <c r="L52" s="273">
        <f>IF(E52&gt;計分版!$C$13,0,1)</f>
        <v>0</v>
      </c>
      <c r="M52" s="273">
        <f>IF(F52&gt;計分版!$D$13,0,1)</f>
        <v>0</v>
      </c>
      <c r="N52" s="273">
        <f>IF(G52&gt;計分版!$E$13,0,1)</f>
        <v>0</v>
      </c>
      <c r="O52" s="273">
        <f>IF(H52&gt;計分版!$F$13,0,1)</f>
        <v>0</v>
      </c>
      <c r="P52" s="273">
        <f>IF(I52&gt;LARGE(計分版!$G$13:$L$13,1),0,1)</f>
        <v>0</v>
      </c>
      <c r="Q52" s="273">
        <f>IF(J52&gt;LARGE(計分版!$G$13:$L$13,2),0,1)</f>
        <v>0</v>
      </c>
      <c r="R52" s="273"/>
      <c r="S52" s="273">
        <f t="shared" si="2"/>
        <v>0</v>
      </c>
      <c r="T52" s="16"/>
      <c r="U52" s="16"/>
      <c r="V52" s="16"/>
      <c r="W52" s="16"/>
      <c r="X52" s="16"/>
      <c r="Y52" s="16"/>
      <c r="Z52" s="16"/>
    </row>
    <row r="53" spans="1:26">
      <c r="A53" s="16" t="s">
        <v>102</v>
      </c>
      <c r="B53" s="16" t="s">
        <v>170</v>
      </c>
      <c r="C53" s="16" t="s">
        <v>220</v>
      </c>
      <c r="D53" s="273">
        <v>55</v>
      </c>
      <c r="E53" s="273">
        <v>3</v>
      </c>
      <c r="F53" s="273">
        <v>3</v>
      </c>
      <c r="G53" s="273">
        <v>2</v>
      </c>
      <c r="H53" s="273">
        <v>2</v>
      </c>
      <c r="I53" s="273">
        <v>3</v>
      </c>
      <c r="J53" s="273">
        <v>3</v>
      </c>
      <c r="L53" s="273">
        <f>IF(E53&gt;計分版!$C$13,0,1)</f>
        <v>0</v>
      </c>
      <c r="M53" s="273">
        <f>IF(F53&gt;計分版!$D$13,0,1)</f>
        <v>0</v>
      </c>
      <c r="N53" s="273">
        <f>IF(G53&gt;計分版!$E$13,0,1)</f>
        <v>0</v>
      </c>
      <c r="O53" s="273">
        <f>IF(H53&gt;計分版!$F$13,0,1)</f>
        <v>0</v>
      </c>
      <c r="P53" s="273">
        <f>IF(AND(計分版!T69=1,LARGE((計分版!O69:R69),1)&gt;3),1,IF(I53&gt;LARGE(計分版!$G$13:$L$13,1),0,2))</f>
        <v>0</v>
      </c>
      <c r="Q53" s="273">
        <f>IF(J53&gt;LARGE(計分版!$G$13:$L$13,2),0,1)</f>
        <v>0</v>
      </c>
      <c r="R53" s="273"/>
      <c r="S53" s="273">
        <f t="shared" si="2"/>
        <v>0</v>
      </c>
      <c r="T53" s="16"/>
      <c r="U53" s="16"/>
      <c r="V53" s="16"/>
      <c r="W53" s="16"/>
      <c r="X53" s="16"/>
      <c r="Y53" s="16"/>
      <c r="Z53" s="16"/>
    </row>
    <row r="54" spans="1:26">
      <c r="A54" s="16" t="s">
        <v>103</v>
      </c>
      <c r="B54" s="16" t="s">
        <v>104</v>
      </c>
      <c r="C54" s="16" t="s">
        <v>214</v>
      </c>
      <c r="D54" s="273">
        <v>20</v>
      </c>
      <c r="E54" s="273">
        <v>3</v>
      </c>
      <c r="F54" s="273">
        <v>3</v>
      </c>
      <c r="G54" s="273">
        <v>2</v>
      </c>
      <c r="H54" s="273">
        <v>2</v>
      </c>
      <c r="I54" s="273">
        <v>3</v>
      </c>
      <c r="J54" s="273">
        <v>3</v>
      </c>
      <c r="L54" s="273">
        <f>IF(E54&gt;計分版!$C$13,0,1)</f>
        <v>0</v>
      </c>
      <c r="M54" s="273">
        <f>IF(F54&gt;計分版!$D$13,0,1)</f>
        <v>0</v>
      </c>
      <c r="N54" s="273">
        <f>IF(G54&gt;計分版!$E$13,0,1)</f>
        <v>0</v>
      </c>
      <c r="O54" s="273">
        <f>IF(H54&gt;計分版!$F$13,0,1)</f>
        <v>0</v>
      </c>
      <c r="P54" s="273">
        <f>IF(AND(計分版!T70=1,LARGE((計分版!O70:R70),1)&gt;3),1,IF(I54&gt;LARGE(計分版!$G$13:$L$13,1),0,2))</f>
        <v>0</v>
      </c>
      <c r="Q54" s="273">
        <f>IF(J54&gt;LARGE(計分版!$G$13:$L$13,2),0,1)</f>
        <v>0</v>
      </c>
      <c r="R54" s="273"/>
      <c r="S54" s="273">
        <f t="shared" si="2"/>
        <v>0</v>
      </c>
      <c r="T54" s="16"/>
      <c r="U54" s="16"/>
      <c r="V54" s="16"/>
      <c r="W54" s="16"/>
      <c r="X54" s="16"/>
      <c r="Y54" s="16"/>
      <c r="Z54" s="16"/>
    </row>
    <row r="55" spans="1:26">
      <c r="A55" s="16" t="s">
        <v>105</v>
      </c>
      <c r="B55" s="16" t="s">
        <v>22</v>
      </c>
      <c r="C55" s="16" t="s">
        <v>214</v>
      </c>
      <c r="D55" s="273">
        <v>47</v>
      </c>
      <c r="E55" s="273">
        <v>3</v>
      </c>
      <c r="F55" s="273">
        <v>3</v>
      </c>
      <c r="G55" s="273">
        <v>2</v>
      </c>
      <c r="H55" s="273">
        <v>2</v>
      </c>
      <c r="I55" s="273">
        <v>3</v>
      </c>
      <c r="J55" s="273">
        <v>3</v>
      </c>
      <c r="L55" s="273">
        <f>IF(E55&gt;計分版!$C$13,0,1)</f>
        <v>0</v>
      </c>
      <c r="M55" s="273">
        <f>IF(F55&gt;計分版!$D$13,0,1)</f>
        <v>0</v>
      </c>
      <c r="N55" s="273">
        <f>IF(G55&gt;計分版!$E$13,0,1)</f>
        <v>0</v>
      </c>
      <c r="O55" s="273">
        <f>IF(H55&gt;計分版!$F$13,0,1)</f>
        <v>0</v>
      </c>
      <c r="P55" s="273">
        <f>IF(I55&gt;LARGE(計分版!$G$13:$L$13,1),0,1)</f>
        <v>0</v>
      </c>
      <c r="Q55" s="273">
        <f>IF(J55&gt;LARGE(計分版!$G$13:$L$13,2),0,1)</f>
        <v>0</v>
      </c>
      <c r="R55" s="273"/>
      <c r="S55" s="273">
        <f t="shared" si="2"/>
        <v>0</v>
      </c>
      <c r="T55" s="16"/>
      <c r="U55" s="16"/>
      <c r="V55" s="16"/>
      <c r="W55" s="16"/>
      <c r="X55" s="16"/>
      <c r="Y55" s="16"/>
      <c r="Z55" s="16"/>
    </row>
    <row r="56" spans="1:26">
      <c r="A56" s="16" t="s">
        <v>106</v>
      </c>
      <c r="B56" s="16" t="s">
        <v>107</v>
      </c>
      <c r="C56" s="16" t="s">
        <v>214</v>
      </c>
      <c r="D56" s="273">
        <v>22</v>
      </c>
      <c r="E56" s="273">
        <v>3</v>
      </c>
      <c r="F56" s="273">
        <v>3</v>
      </c>
      <c r="G56" s="273">
        <v>2</v>
      </c>
      <c r="H56" s="273">
        <v>2</v>
      </c>
      <c r="I56" s="273">
        <v>3</v>
      </c>
      <c r="J56" s="273">
        <v>3</v>
      </c>
      <c r="L56" s="273">
        <f>IF(E56&gt;計分版!$C$13,0,1)</f>
        <v>0</v>
      </c>
      <c r="M56" s="273">
        <f>IF(F56&gt;計分版!$D$13,0,1)</f>
        <v>0</v>
      </c>
      <c r="N56" s="273">
        <f>IF(G56&gt;計分版!$E$13,0,1)</f>
        <v>0</v>
      </c>
      <c r="O56" s="273">
        <f>IF(H56&gt;計分版!$F$13,0,1)</f>
        <v>0</v>
      </c>
      <c r="P56" s="273">
        <f>IF(I56&gt;LARGE(計分版!$G$13:$L$13,1),0,1)</f>
        <v>0</v>
      </c>
      <c r="Q56" s="273">
        <f>IF(J56&gt;LARGE(計分版!$G$13:$L$13,2),0,1)</f>
        <v>0</v>
      </c>
      <c r="R56" s="273"/>
      <c r="S56" s="273">
        <f t="shared" si="2"/>
        <v>0</v>
      </c>
      <c r="T56" s="16"/>
      <c r="U56" s="16"/>
      <c r="V56" s="16"/>
      <c r="W56" s="16"/>
      <c r="X56" s="16"/>
      <c r="Y56" s="16"/>
      <c r="Z56" s="16"/>
    </row>
    <row r="57" spans="1:26">
      <c r="A57" s="16" t="s">
        <v>108</v>
      </c>
      <c r="B57" s="16" t="s">
        <v>171</v>
      </c>
      <c r="C57" s="16" t="s">
        <v>214</v>
      </c>
      <c r="D57" s="273">
        <v>20</v>
      </c>
      <c r="E57" s="273">
        <v>3</v>
      </c>
      <c r="F57" s="273">
        <v>3</v>
      </c>
      <c r="G57" s="273">
        <v>2</v>
      </c>
      <c r="H57" s="273">
        <v>2</v>
      </c>
      <c r="I57" s="273">
        <v>3</v>
      </c>
      <c r="J57" s="273">
        <v>3</v>
      </c>
      <c r="L57" s="273">
        <f>IF(E57&gt;計分版!$C$13,0,1)</f>
        <v>0</v>
      </c>
      <c r="M57" s="273">
        <f>IF(F57&gt;計分版!$D$13,0,1)</f>
        <v>0</v>
      </c>
      <c r="N57" s="273">
        <f>IF(G57&gt;計分版!$E$13,0,1)</f>
        <v>0</v>
      </c>
      <c r="O57" s="273">
        <f>IF(H57&gt;計分版!$F$13,0,1)</f>
        <v>0</v>
      </c>
      <c r="P57" s="273">
        <f>IF(I57&gt;LARGE(計分版!$G$13:$L$13,1),0,1)</f>
        <v>0</v>
      </c>
      <c r="Q57" s="273">
        <f>IF(J57&gt;LARGE(計分版!$G$13:$L$13,2),0,1)</f>
        <v>0</v>
      </c>
      <c r="R57" s="273"/>
      <c r="S57" s="273">
        <f t="shared" si="2"/>
        <v>0</v>
      </c>
      <c r="T57" s="16"/>
      <c r="U57" s="16"/>
      <c r="V57" s="16"/>
      <c r="W57" s="16"/>
      <c r="X57" s="16"/>
      <c r="Y57" s="16"/>
      <c r="Z57" s="16"/>
    </row>
    <row r="58" spans="1:26">
      <c r="A58" s="16" t="s">
        <v>109</v>
      </c>
      <c r="B58" s="16" t="s">
        <v>21</v>
      </c>
      <c r="C58" s="16" t="s">
        <v>82</v>
      </c>
      <c r="D58" s="273">
        <v>28</v>
      </c>
      <c r="E58" s="273">
        <v>3</v>
      </c>
      <c r="F58" s="273">
        <v>3</v>
      </c>
      <c r="G58" s="273">
        <v>2</v>
      </c>
      <c r="H58" s="273">
        <v>2</v>
      </c>
      <c r="I58" s="273">
        <v>3</v>
      </c>
      <c r="J58" s="273">
        <v>3</v>
      </c>
      <c r="L58" s="273">
        <f>IF(E58&gt;計分版!$C$13,0,1)</f>
        <v>0</v>
      </c>
      <c r="M58" s="273">
        <f>IF(F58&gt;計分版!$D$13,0,1)</f>
        <v>0</v>
      </c>
      <c r="N58" s="273">
        <f>IF(G58&gt;計分版!$E$13,0,1)</f>
        <v>0</v>
      </c>
      <c r="O58" s="273">
        <f>IF(H58&gt;計分版!$F$13,0,1)</f>
        <v>0</v>
      </c>
      <c r="P58" s="273">
        <f>IF(AND(計分版!T74=1,LARGE((計分版!O74:R74),1)&gt;3),1,IF(I58&gt;LARGE(計分版!$G$13:$L$13,1),0,2))</f>
        <v>0</v>
      </c>
      <c r="Q58" s="273">
        <f>IF(J58&gt;LARGE(計分版!$G$13:$L$13,2),0,1)</f>
        <v>0</v>
      </c>
      <c r="R58" s="273"/>
      <c r="S58" s="273">
        <f t="shared" si="2"/>
        <v>0</v>
      </c>
      <c r="T58" s="16"/>
      <c r="U58" s="16"/>
      <c r="V58" s="16"/>
      <c r="W58" s="16"/>
      <c r="X58" s="16"/>
      <c r="Y58" s="16"/>
      <c r="Z58" s="16"/>
    </row>
    <row r="59" spans="1:26">
      <c r="A59" s="16" t="s">
        <v>110</v>
      </c>
      <c r="B59" s="16" t="s">
        <v>172</v>
      </c>
      <c r="C59" s="16" t="s">
        <v>214</v>
      </c>
      <c r="D59" s="273">
        <v>21</v>
      </c>
      <c r="E59" s="273">
        <v>3</v>
      </c>
      <c r="F59" s="273">
        <v>3</v>
      </c>
      <c r="G59" s="273">
        <v>2</v>
      </c>
      <c r="H59" s="273">
        <v>2</v>
      </c>
      <c r="I59" s="273">
        <v>3</v>
      </c>
      <c r="J59" s="273">
        <v>3</v>
      </c>
      <c r="L59" s="273">
        <f>IF(E59&gt;計分版!$C$13,0,1)</f>
        <v>0</v>
      </c>
      <c r="M59" s="273">
        <f>IF(F59&gt;計分版!$D$13,0,1)</f>
        <v>0</v>
      </c>
      <c r="N59" s="273">
        <f>IF(G59&gt;計分版!$E$13,0,1)</f>
        <v>0</v>
      </c>
      <c r="O59" s="273">
        <f>IF(H59&gt;計分版!$F$13,0,1)</f>
        <v>0</v>
      </c>
      <c r="P59" s="273">
        <f>IF(I59&gt;LARGE(計分版!$G$13:$L$13,1),0,1)</f>
        <v>0</v>
      </c>
      <c r="Q59" s="273">
        <f>IF(J59&gt;LARGE(計分版!$G$13:$L$13,2),0,1)</f>
        <v>0</v>
      </c>
      <c r="R59" s="273"/>
      <c r="S59" s="273">
        <f t="shared" si="2"/>
        <v>0</v>
      </c>
      <c r="T59" s="16"/>
      <c r="U59" s="16"/>
      <c r="V59" s="16"/>
      <c r="W59" s="16"/>
      <c r="X59" s="16"/>
      <c r="Y59" s="16"/>
      <c r="Z59" s="16"/>
    </row>
    <row r="60" spans="1:26">
      <c r="A60" s="16" t="s">
        <v>111</v>
      </c>
      <c r="B60" s="16" t="s">
        <v>173</v>
      </c>
      <c r="C60" s="16" t="s">
        <v>214</v>
      </c>
      <c r="D60" s="308">
        <v>19</v>
      </c>
      <c r="E60" s="273">
        <v>3</v>
      </c>
      <c r="F60" s="273">
        <v>3</v>
      </c>
      <c r="G60" s="273">
        <v>2</v>
      </c>
      <c r="H60" s="273">
        <v>2</v>
      </c>
      <c r="I60" s="273">
        <v>3</v>
      </c>
      <c r="J60" s="273">
        <v>3</v>
      </c>
      <c r="L60" s="273">
        <f>IF(E60&gt;計分版!$C$13,0,1)</f>
        <v>0</v>
      </c>
      <c r="M60" s="273">
        <f>IF(F60&gt;計分版!$D$13,0,1)</f>
        <v>0</v>
      </c>
      <c r="N60" s="273">
        <f>IF(G60&gt;計分版!$E$13,0,1)</f>
        <v>0</v>
      </c>
      <c r="O60" s="273">
        <f>IF(H60&gt;計分版!$F$13,0,1)</f>
        <v>0</v>
      </c>
      <c r="P60" s="273">
        <f>IF(I60&gt;LARGE(計分版!$G$13:$L$13,1),0,1)</f>
        <v>0</v>
      </c>
      <c r="Q60" s="273">
        <f>IF(J60&gt;LARGE(計分版!$G$13:$L$13,2),0,1)</f>
        <v>0</v>
      </c>
      <c r="R60" s="273"/>
      <c r="S60" s="273">
        <f t="shared" si="2"/>
        <v>0</v>
      </c>
      <c r="T60" s="16"/>
      <c r="U60" s="16"/>
      <c r="V60" s="16"/>
      <c r="W60" s="16"/>
      <c r="X60" s="16"/>
      <c r="Y60" s="16"/>
      <c r="Z60" s="16"/>
    </row>
    <row r="61" spans="1:26">
      <c r="A61" s="16" t="s">
        <v>112</v>
      </c>
      <c r="B61" s="16" t="s">
        <v>174</v>
      </c>
      <c r="C61" s="16" t="s">
        <v>214</v>
      </c>
      <c r="D61" s="308"/>
      <c r="E61" s="273">
        <v>3</v>
      </c>
      <c r="F61" s="273">
        <v>3</v>
      </c>
      <c r="G61" s="273">
        <v>2</v>
      </c>
      <c r="H61" s="273">
        <v>2</v>
      </c>
      <c r="I61" s="273">
        <v>3</v>
      </c>
      <c r="J61" s="273">
        <v>3</v>
      </c>
      <c r="L61" s="273">
        <f>IF(E61&gt;計分版!$C$13,0,1)</f>
        <v>0</v>
      </c>
      <c r="M61" s="273">
        <f>IF(F61&gt;計分版!$D$13,0,1)</f>
        <v>0</v>
      </c>
      <c r="N61" s="273">
        <f>IF(G61&gt;計分版!$E$13,0,1)</f>
        <v>0</v>
      </c>
      <c r="O61" s="273">
        <f>IF(H61&gt;計分版!$F$13,0,1)</f>
        <v>0</v>
      </c>
      <c r="P61" s="273">
        <f>IF(I61&gt;LARGE(計分版!$G$13:$L$13,1),0,1)</f>
        <v>0</v>
      </c>
      <c r="Q61" s="273">
        <f>IF(J61&gt;LARGE(計分版!$G$13:$L$13,2),0,1)</f>
        <v>0</v>
      </c>
      <c r="R61" s="273"/>
      <c r="S61" s="273">
        <f t="shared" si="2"/>
        <v>0</v>
      </c>
      <c r="T61" s="16"/>
      <c r="U61" s="16"/>
      <c r="V61" s="16"/>
      <c r="W61" s="16"/>
      <c r="X61" s="16"/>
      <c r="Y61" s="16"/>
      <c r="Z61" s="16"/>
    </row>
    <row r="62" spans="1:26">
      <c r="A62" s="16" t="s">
        <v>113</v>
      </c>
      <c r="B62" s="16" t="s">
        <v>114</v>
      </c>
      <c r="C62" s="16" t="s">
        <v>214</v>
      </c>
      <c r="D62" s="273">
        <v>32</v>
      </c>
      <c r="E62" s="273">
        <v>3</v>
      </c>
      <c r="F62" s="273">
        <v>3</v>
      </c>
      <c r="G62" s="273">
        <v>3</v>
      </c>
      <c r="H62" s="273">
        <v>3</v>
      </c>
      <c r="I62" s="273">
        <v>3</v>
      </c>
      <c r="J62" s="273">
        <v>3</v>
      </c>
      <c r="L62" s="273">
        <f>IF(E62&gt;計分版!$C$13,0,1)</f>
        <v>0</v>
      </c>
      <c r="M62" s="273">
        <f>IF(F62&gt;計分版!$D$13,0,1)</f>
        <v>0</v>
      </c>
      <c r="N62" s="273">
        <f>IF(G62&gt;計分版!$E$13,0,1)</f>
        <v>0</v>
      </c>
      <c r="O62" s="273">
        <f>IF(H62&gt;計分版!$F$13,0,1)</f>
        <v>0</v>
      </c>
      <c r="P62" s="273">
        <f>IF(I62&gt;LARGE(計分版!$G$13:$L$13,1),0,1)</f>
        <v>0</v>
      </c>
      <c r="Q62" s="273">
        <f>IF(J62&gt;LARGE(計分版!$G$13:$L$13,2),0,1)</f>
        <v>0</v>
      </c>
      <c r="R62" s="273"/>
      <c r="S62" s="273">
        <f t="shared" si="2"/>
        <v>0</v>
      </c>
      <c r="T62" s="16"/>
      <c r="U62" s="16"/>
      <c r="V62" s="16"/>
      <c r="W62" s="16"/>
      <c r="X62" s="16"/>
      <c r="Y62" s="16"/>
      <c r="Z62" s="16"/>
    </row>
    <row r="63" spans="1:26">
      <c r="A63" s="16" t="s">
        <v>208</v>
      </c>
      <c r="B63" s="17" t="s">
        <v>209</v>
      </c>
      <c r="C63" s="16" t="s">
        <v>214</v>
      </c>
      <c r="D63" s="273">
        <v>15</v>
      </c>
      <c r="E63" s="273">
        <v>3</v>
      </c>
      <c r="F63" s="273">
        <v>3</v>
      </c>
      <c r="G63" s="273">
        <v>2</v>
      </c>
      <c r="H63" s="273">
        <v>2</v>
      </c>
      <c r="I63" s="273">
        <v>3</v>
      </c>
      <c r="J63" s="273">
        <v>3</v>
      </c>
      <c r="L63" s="273">
        <f>IF(E63&gt;計分版!$C$13,0,1)</f>
        <v>0</v>
      </c>
      <c r="M63" s="273">
        <f>IF(計分版!$D$13&gt;4,1,IF(計分版!$D$13=3.0000000002,2,0))</f>
        <v>0</v>
      </c>
      <c r="N63" s="273">
        <f>IF(G63&gt;計分版!$E$13,0,1)</f>
        <v>0</v>
      </c>
      <c r="O63" s="273">
        <f>IF(H63&gt;計分版!$F$13,0,1)</f>
        <v>0</v>
      </c>
      <c r="P63" s="273">
        <f>IF(I63&gt;LARGE(計分版!$G$13:$L$13,1),0,1)</f>
        <v>0</v>
      </c>
      <c r="Q63" s="273">
        <f>IF(J63&gt;LARGE(計分版!$G$13:$L$13,2),0,1)</f>
        <v>0</v>
      </c>
      <c r="R63" s="273"/>
      <c r="S63" s="273">
        <f t="shared" si="2"/>
        <v>0</v>
      </c>
      <c r="T63" s="16"/>
      <c r="U63" s="16"/>
      <c r="V63" s="16"/>
      <c r="W63" s="16"/>
      <c r="X63" s="16"/>
      <c r="Y63" s="16"/>
      <c r="Z63" s="16"/>
    </row>
    <row r="64" spans="1:26">
      <c r="A64" s="16" t="s">
        <v>115</v>
      </c>
      <c r="B64" s="16" t="s">
        <v>116</v>
      </c>
      <c r="C64" s="16" t="s">
        <v>214</v>
      </c>
      <c r="D64" s="273">
        <v>233</v>
      </c>
      <c r="E64" s="273">
        <v>3</v>
      </c>
      <c r="F64" s="273">
        <v>3</v>
      </c>
      <c r="G64" s="273">
        <v>2</v>
      </c>
      <c r="H64" s="273">
        <v>2</v>
      </c>
      <c r="I64" s="273">
        <v>3</v>
      </c>
      <c r="J64" s="273">
        <v>3</v>
      </c>
      <c r="L64" s="273">
        <f>IF(E64&gt;計分版!$C$13,0,1)</f>
        <v>0</v>
      </c>
      <c r="M64" s="273">
        <f>IF(F64&gt;計分版!$D$13,0,1)</f>
        <v>0</v>
      </c>
      <c r="N64" s="273">
        <f>IF(G64&gt;計分版!$E$13,0,1)</f>
        <v>0</v>
      </c>
      <c r="O64" s="273">
        <f>IF(H64&gt;計分版!$F$13,0,1)</f>
        <v>0</v>
      </c>
      <c r="P64" s="273">
        <f>IF(I64&gt;LARGE(計分版!$G$13:$L$13,1),0,1)</f>
        <v>0</v>
      </c>
      <c r="Q64" s="273">
        <f>IF(J64&gt;LARGE(計分版!$G$13:$L$13,2),0,1)</f>
        <v>0</v>
      </c>
      <c r="R64" s="273"/>
      <c r="S64" s="273">
        <f t="shared" si="2"/>
        <v>0</v>
      </c>
      <c r="T64" s="16"/>
      <c r="U64" s="16"/>
      <c r="V64" s="16"/>
      <c r="W64" s="16"/>
      <c r="X64" s="16"/>
      <c r="Y64" s="16"/>
      <c r="Z64" s="16"/>
    </row>
    <row r="65" spans="1:26">
      <c r="A65" s="16" t="s">
        <v>117</v>
      </c>
      <c r="B65" s="16" t="s">
        <v>118</v>
      </c>
      <c r="C65" s="16" t="s">
        <v>215</v>
      </c>
      <c r="D65" s="273">
        <v>15</v>
      </c>
      <c r="E65" s="273">
        <v>4</v>
      </c>
      <c r="F65" s="273">
        <v>5</v>
      </c>
      <c r="G65" s="273">
        <v>3</v>
      </c>
      <c r="H65" s="273">
        <v>3</v>
      </c>
      <c r="I65" s="273">
        <v>3</v>
      </c>
      <c r="J65" s="273">
        <v>3</v>
      </c>
      <c r="L65" s="273">
        <f>IF(E65&gt;計分版!$C$13,0,1)</f>
        <v>0</v>
      </c>
      <c r="M65" s="273">
        <f>IF(F65&gt;計分版!$D$13,0,1)</f>
        <v>0</v>
      </c>
      <c r="N65" s="273">
        <f>IF(G65&gt;計分版!$E$13,0,1)</f>
        <v>0</v>
      </c>
      <c r="O65" s="273">
        <f>IF(H65&gt;計分版!$F$13,0,1)</f>
        <v>0</v>
      </c>
      <c r="P65" s="273">
        <f>IF(I65&gt;LARGE(計分版!$G$13:$L$13,1),0,1)</f>
        <v>0</v>
      </c>
      <c r="Q65" s="273">
        <f>IF(J65&gt;LARGE(計分版!$G$13:$L$13,2),0,1)</f>
        <v>0</v>
      </c>
      <c r="R65" s="273"/>
      <c r="S65" s="273">
        <f t="shared" si="2"/>
        <v>0</v>
      </c>
      <c r="T65" s="16"/>
      <c r="U65" s="16"/>
      <c r="V65" s="16"/>
      <c r="W65" s="16"/>
      <c r="X65" s="16"/>
      <c r="Y65" s="16"/>
      <c r="Z65" s="16"/>
    </row>
    <row r="66" spans="1:26">
      <c r="A66" s="16" t="s">
        <v>119</v>
      </c>
      <c r="B66" s="16" t="s">
        <v>175</v>
      </c>
      <c r="C66" s="16" t="s">
        <v>214</v>
      </c>
      <c r="D66" s="273">
        <v>66</v>
      </c>
      <c r="E66" s="273">
        <v>3</v>
      </c>
      <c r="F66" s="273">
        <v>3</v>
      </c>
      <c r="G66" s="273">
        <v>2</v>
      </c>
      <c r="H66" s="273">
        <v>2</v>
      </c>
      <c r="I66" s="273">
        <v>3</v>
      </c>
      <c r="J66" s="273">
        <v>3</v>
      </c>
      <c r="L66" s="273">
        <f>IF(E66&gt;計分版!$C$13,0,1)</f>
        <v>0</v>
      </c>
      <c r="M66" s="273">
        <f>IF(F66&gt;計分版!$D$13,0,1)</f>
        <v>0</v>
      </c>
      <c r="N66" s="273">
        <f>IF(G66&gt;計分版!$E$13,0,1)</f>
        <v>0</v>
      </c>
      <c r="O66" s="273">
        <f>IF(H66&gt;計分版!$F$13,0,1)</f>
        <v>0</v>
      </c>
      <c r="P66" s="273">
        <f>IF(I66&gt;LARGE(計分版!$G$13:$L$13,1),0,1)</f>
        <v>0</v>
      </c>
      <c r="Q66" s="273">
        <f>IF(J66&gt;LARGE(計分版!$G$13:$L$13,2),0,1)</f>
        <v>0</v>
      </c>
      <c r="R66" s="273"/>
      <c r="S66" s="273">
        <f t="shared" si="2"/>
        <v>0</v>
      </c>
      <c r="T66" s="16"/>
      <c r="U66" s="16"/>
      <c r="V66" s="16"/>
      <c r="W66" s="16"/>
      <c r="X66" s="16"/>
      <c r="Y66" s="16"/>
      <c r="Z66" s="16"/>
    </row>
    <row r="67" spans="1:26">
      <c r="A67" s="16" t="s">
        <v>176</v>
      </c>
      <c r="B67" s="16" t="s">
        <v>177</v>
      </c>
      <c r="C67" s="16" t="s">
        <v>214</v>
      </c>
      <c r="D67" s="273">
        <v>36</v>
      </c>
      <c r="E67" s="273">
        <v>3</v>
      </c>
      <c r="F67" s="273">
        <v>3</v>
      </c>
      <c r="G67" s="273">
        <v>5</v>
      </c>
      <c r="H67" s="273">
        <v>2</v>
      </c>
      <c r="I67" s="273">
        <v>3</v>
      </c>
      <c r="J67" s="273">
        <v>3</v>
      </c>
      <c r="L67" s="273">
        <f>IF(E67&gt;計分版!$C$13,0,1)</f>
        <v>0</v>
      </c>
      <c r="M67" s="273">
        <f>IF(F67&gt;計分版!$D$13,0,1)</f>
        <v>0</v>
      </c>
      <c r="N67" s="273">
        <f>IF(計分版!$E$13&gt;5,1,IF(OR(計分版!$E$13=3.0000000003,計分版!$E$13=4.0000000003),2,0))</f>
        <v>0</v>
      </c>
      <c r="O67" s="273">
        <f>IF(H67&gt;計分版!$F$13,0,1)</f>
        <v>0</v>
      </c>
      <c r="P67" s="273">
        <f>IF(I67&gt;LARGE(計分版!$G$13:$L$13,1),0,1)</f>
        <v>0</v>
      </c>
      <c r="Q67" s="273">
        <f>IF(AND(計分版!$E$13&lt;5,計分版!$G$13&lt;5),0,IF(I67&gt;LARGE(計分版!$G$13:$L$13,2),0,1))</f>
        <v>0</v>
      </c>
      <c r="R67" s="273"/>
      <c r="S67" s="273">
        <f t="shared" si="2"/>
        <v>0</v>
      </c>
      <c r="T67" s="16"/>
      <c r="U67" s="16"/>
      <c r="V67" s="16"/>
      <c r="W67" s="16"/>
      <c r="X67" s="16"/>
      <c r="Y67" s="16"/>
      <c r="Z67" s="16"/>
    </row>
    <row r="68" spans="1:26">
      <c r="A68" s="16" t="s">
        <v>120</v>
      </c>
      <c r="B68" s="16" t="s">
        <v>178</v>
      </c>
      <c r="C68" s="16" t="s">
        <v>214</v>
      </c>
      <c r="D68" s="273">
        <v>126</v>
      </c>
      <c r="E68" s="273">
        <v>3</v>
      </c>
      <c r="F68" s="273">
        <v>3</v>
      </c>
      <c r="G68" s="273">
        <v>3</v>
      </c>
      <c r="H68" s="273">
        <v>2</v>
      </c>
      <c r="I68" s="273">
        <v>3</v>
      </c>
      <c r="J68" s="273">
        <v>3</v>
      </c>
      <c r="L68" s="273">
        <f>IF(E68&gt;計分版!$C$13,0,1)</f>
        <v>0</v>
      </c>
      <c r="M68" s="273">
        <f>IF(F68&gt;計分版!$D$13,0,1)</f>
        <v>0</v>
      </c>
      <c r="N68" s="273">
        <f>IF(G68&gt;計分版!$E$13,0,1)</f>
        <v>0</v>
      </c>
      <c r="O68" s="273">
        <f>IF(H68&gt;計分版!$F$13,0,1)</f>
        <v>0</v>
      </c>
      <c r="P68" s="273">
        <f>IF(I68&gt;LARGE(計分版!$G$13:$L$13,1),0,1)</f>
        <v>0</v>
      </c>
      <c r="Q68" s="273">
        <f>IF(J68&gt;LARGE(計分版!$G$13:$L$13,2),0,1)</f>
        <v>0</v>
      </c>
      <c r="R68" s="273"/>
      <c r="S68" s="273">
        <f t="shared" si="2"/>
        <v>0</v>
      </c>
      <c r="T68" s="16"/>
      <c r="U68" s="16"/>
      <c r="V68" s="16"/>
      <c r="W68" s="16"/>
      <c r="X68" s="16"/>
      <c r="Y68" s="16"/>
      <c r="Z68" s="16"/>
    </row>
    <row r="69" spans="1:26">
      <c r="A69" s="16" t="s">
        <v>179</v>
      </c>
      <c r="B69" s="16" t="s">
        <v>180</v>
      </c>
      <c r="C69" s="16" t="s">
        <v>214</v>
      </c>
      <c r="D69" s="273">
        <v>37</v>
      </c>
      <c r="E69" s="273">
        <v>3</v>
      </c>
      <c r="F69" s="273">
        <v>3</v>
      </c>
      <c r="G69" s="273">
        <v>3</v>
      </c>
      <c r="H69" s="273">
        <v>2</v>
      </c>
      <c r="I69" s="273">
        <v>3</v>
      </c>
      <c r="J69" s="273">
        <v>3</v>
      </c>
      <c r="L69" s="273">
        <f>IF(E69&gt;計分版!$C$13,0,1)</f>
        <v>0</v>
      </c>
      <c r="M69" s="273">
        <f>IF(F69&gt;計分版!$D$13,0,1)</f>
        <v>0</v>
      </c>
      <c r="N69" s="273">
        <f>IF(G69&gt;計分版!$E$13,0,1)</f>
        <v>0</v>
      </c>
      <c r="O69" s="273">
        <f>IF(H69&gt;計分版!$F$13,0,1)</f>
        <v>0</v>
      </c>
      <c r="P69" s="273">
        <f>IF(I69&gt;LARGE(計分版!$G$13:$L$13,1),0,1)</f>
        <v>0</v>
      </c>
      <c r="Q69" s="273">
        <f>IF(J69&gt;LARGE(計分版!$G$13:$L$13,2),0,1)</f>
        <v>0</v>
      </c>
      <c r="R69" s="273"/>
      <c r="S69" s="273">
        <f t="shared" si="2"/>
        <v>0</v>
      </c>
      <c r="T69" s="16"/>
      <c r="U69" s="16"/>
      <c r="V69" s="16"/>
      <c r="W69" s="16"/>
      <c r="X69" s="16"/>
      <c r="Y69" s="16"/>
      <c r="Z69" s="16"/>
    </row>
    <row r="70" spans="1:26">
      <c r="A70" s="16" t="s">
        <v>121</v>
      </c>
      <c r="B70" s="16" t="s">
        <v>122</v>
      </c>
      <c r="C70" s="16" t="s">
        <v>215</v>
      </c>
      <c r="D70" s="273">
        <v>24</v>
      </c>
      <c r="E70" s="273">
        <v>4</v>
      </c>
      <c r="F70" s="273">
        <v>5</v>
      </c>
      <c r="G70" s="273">
        <v>3</v>
      </c>
      <c r="H70" s="273">
        <v>2</v>
      </c>
      <c r="I70" s="273">
        <v>3</v>
      </c>
      <c r="J70" s="273">
        <v>3</v>
      </c>
      <c r="L70" s="273">
        <f>IF(E70&gt;計分版!$C$13,0,1)</f>
        <v>0</v>
      </c>
      <c r="M70" s="273">
        <f>IF(F70&gt;計分版!$D$13,0,1)</f>
        <v>0</v>
      </c>
      <c r="N70" s="273">
        <f>IF(G70&gt;計分版!$E$13,0,1)</f>
        <v>0</v>
      </c>
      <c r="O70" s="273">
        <f>IF(H70&gt;計分版!$F$13,0,1)</f>
        <v>0</v>
      </c>
      <c r="P70" s="273">
        <f>IF(I70&gt;LARGE(計分版!$G$13:$L$13,1),0,1)</f>
        <v>0</v>
      </c>
      <c r="Q70" s="273">
        <f>IF(J70&gt;LARGE(計分版!$G$13:$L$13,2),0,1)</f>
        <v>0</v>
      </c>
      <c r="R70" s="273"/>
      <c r="S70" s="273">
        <f t="shared" si="2"/>
        <v>0</v>
      </c>
      <c r="T70" s="16"/>
      <c r="U70" s="16"/>
      <c r="V70" s="16"/>
      <c r="W70" s="16"/>
      <c r="X70" s="16"/>
      <c r="Y70" s="16"/>
      <c r="Z70" s="16"/>
    </row>
    <row r="71" spans="1:26">
      <c r="A71" s="16" t="s">
        <v>181</v>
      </c>
      <c r="B71" s="16" t="s">
        <v>182</v>
      </c>
      <c r="C71" s="16" t="s">
        <v>215</v>
      </c>
      <c r="D71" s="273">
        <v>25</v>
      </c>
      <c r="E71" s="273">
        <v>4</v>
      </c>
      <c r="F71" s="273">
        <v>5</v>
      </c>
      <c r="G71" s="273">
        <v>3</v>
      </c>
      <c r="H71" s="273">
        <v>2</v>
      </c>
      <c r="I71" s="273">
        <v>3</v>
      </c>
      <c r="J71" s="273">
        <v>3</v>
      </c>
      <c r="L71" s="273">
        <f>IF(E71&gt;計分版!$C$13,0,1)</f>
        <v>0</v>
      </c>
      <c r="M71" s="273">
        <f>IF(F71&gt;計分版!$D$13,0,1)</f>
        <v>0</v>
      </c>
      <c r="N71" s="273">
        <f>IF(G71&gt;計分版!$E$13,0,1)</f>
        <v>0</v>
      </c>
      <c r="O71" s="273">
        <f>IF(H71&gt;計分版!$F$13,0,1)</f>
        <v>0</v>
      </c>
      <c r="P71" s="273">
        <f>IF(I71&gt;LARGE(計分版!$G$13:$L$13,1),0,1)</f>
        <v>0</v>
      </c>
      <c r="Q71" s="273">
        <f>IF(J71&gt;LARGE(計分版!$G$13:$L$13,2),0,1)</f>
        <v>0</v>
      </c>
      <c r="R71" s="273"/>
      <c r="S71" s="273">
        <f t="shared" si="2"/>
        <v>0</v>
      </c>
      <c r="T71" s="16"/>
      <c r="U71" s="16"/>
      <c r="V71" s="16"/>
      <c r="W71" s="16"/>
      <c r="X71" s="16"/>
      <c r="Y71" s="16"/>
      <c r="Z71" s="16"/>
    </row>
    <row r="72" spans="1:26">
      <c r="A72" s="16" t="s">
        <v>123</v>
      </c>
      <c r="B72" s="16" t="s">
        <v>183</v>
      </c>
      <c r="C72" s="16" t="s">
        <v>214</v>
      </c>
      <c r="D72" s="273">
        <v>20</v>
      </c>
      <c r="E72" s="273">
        <v>3</v>
      </c>
      <c r="F72" s="273">
        <v>3</v>
      </c>
      <c r="G72" s="273">
        <v>3</v>
      </c>
      <c r="H72" s="273">
        <v>2</v>
      </c>
      <c r="I72" s="273">
        <v>3</v>
      </c>
      <c r="J72" s="273">
        <v>3</v>
      </c>
      <c r="L72" s="273">
        <f>IF(E72&gt;計分版!$C$13,0,1)</f>
        <v>0</v>
      </c>
      <c r="M72" s="273">
        <f>IF(F72&gt;計分版!$D$13,0,1)</f>
        <v>0</v>
      </c>
      <c r="N72" s="273">
        <f>IF(G72&gt;計分版!$E$13,0,1)</f>
        <v>0</v>
      </c>
      <c r="O72" s="273">
        <f>IF(H72&gt;計分版!$F$13,0,1)</f>
        <v>0</v>
      </c>
      <c r="P72" s="273">
        <f>IF(I72&gt;LARGE(計分版!$G$13:$L$13,1),0,1)</f>
        <v>0</v>
      </c>
      <c r="Q72" s="273">
        <f>IF(J72&gt;LARGE(計分版!$G$13:$L$13,2),0,1)</f>
        <v>0</v>
      </c>
      <c r="R72" s="273"/>
      <c r="S72" s="273">
        <f t="shared" si="2"/>
        <v>0</v>
      </c>
      <c r="T72" s="16"/>
      <c r="U72" s="16"/>
      <c r="V72" s="16"/>
      <c r="W72" s="16"/>
      <c r="X72" s="16"/>
      <c r="Y72" s="16"/>
      <c r="Z72" s="16"/>
    </row>
    <row r="73" spans="1:26">
      <c r="A73" s="16" t="s">
        <v>124</v>
      </c>
      <c r="B73" s="16" t="s">
        <v>125</v>
      </c>
      <c r="C73" s="16" t="s">
        <v>215</v>
      </c>
      <c r="D73" s="273">
        <v>20</v>
      </c>
      <c r="E73" s="273">
        <v>4</v>
      </c>
      <c r="F73" s="273">
        <v>5</v>
      </c>
      <c r="G73" s="273">
        <v>3</v>
      </c>
      <c r="H73" s="273">
        <v>3</v>
      </c>
      <c r="I73" s="273">
        <v>3</v>
      </c>
      <c r="J73" s="273">
        <v>3</v>
      </c>
      <c r="L73" s="273">
        <f>IF(E73&gt;計分版!$C$13,0,1)</f>
        <v>0</v>
      </c>
      <c r="M73" s="273">
        <f>IF(F73&gt;計分版!$D$13,0,1)</f>
        <v>0</v>
      </c>
      <c r="N73" s="273">
        <f>IF(G73&gt;計分版!$E$13,0,1)</f>
        <v>0</v>
      </c>
      <c r="O73" s="273">
        <f>IF(H73&gt;計分版!$F$13,0,1)</f>
        <v>0</v>
      </c>
      <c r="P73" s="273">
        <f>IF(I73&gt;LARGE(計分版!$G$13:$L$13,1),0,1)</f>
        <v>0</v>
      </c>
      <c r="Q73" s="273">
        <f>IF(J73&gt;LARGE(計分版!$G$13:$L$13,2),0,1)</f>
        <v>0</v>
      </c>
      <c r="R73" s="273"/>
      <c r="S73" s="273">
        <f t="shared" si="2"/>
        <v>0</v>
      </c>
      <c r="T73" s="16"/>
      <c r="U73" s="16"/>
      <c r="V73" s="16"/>
      <c r="W73" s="16"/>
      <c r="X73" s="16"/>
      <c r="Y73" s="16"/>
      <c r="Z73" s="16"/>
    </row>
    <row r="74" spans="1:26">
      <c r="A74" s="16" t="s">
        <v>126</v>
      </c>
      <c r="B74" s="16" t="s">
        <v>210</v>
      </c>
      <c r="C74" s="16" t="s">
        <v>214</v>
      </c>
      <c r="D74" s="273">
        <v>24</v>
      </c>
      <c r="E74" s="273">
        <v>3</v>
      </c>
      <c r="F74" s="273">
        <v>3</v>
      </c>
      <c r="G74" s="273">
        <v>2</v>
      </c>
      <c r="H74" s="273">
        <v>2</v>
      </c>
      <c r="I74" s="273">
        <v>3</v>
      </c>
      <c r="J74" s="273">
        <v>3</v>
      </c>
      <c r="L74" s="273">
        <f>IF(E74&gt;計分版!$C$13,0,1)</f>
        <v>0</v>
      </c>
      <c r="M74" s="273">
        <f>IF(F74&gt;計分版!$D$13,0,1)</f>
        <v>0</v>
      </c>
      <c r="N74" s="273">
        <f>IF(G74&gt;計分版!$E$13,0,1)</f>
        <v>0</v>
      </c>
      <c r="O74" s="273">
        <f>IF(H74&gt;計分版!$F$13,0,1)</f>
        <v>0</v>
      </c>
      <c r="P74" s="273">
        <f>IF(I74&gt;LARGE(計分版!$G$13:$L$13,1),0,1)</f>
        <v>0</v>
      </c>
      <c r="Q74" s="273">
        <f>IF(J74&gt;LARGE(計分版!$G$13:$L$13,2),0,1)</f>
        <v>0</v>
      </c>
      <c r="R74" s="273"/>
      <c r="S74" s="273">
        <f t="shared" si="2"/>
        <v>0</v>
      </c>
      <c r="T74" s="16"/>
      <c r="U74" s="16"/>
      <c r="V74" s="16"/>
      <c r="W74" s="16"/>
      <c r="X74" s="16"/>
      <c r="Y74" s="16"/>
      <c r="Z74" s="16"/>
    </row>
    <row r="75" spans="1:26">
      <c r="A75" s="16" t="s">
        <v>127</v>
      </c>
      <c r="B75" s="16" t="s">
        <v>128</v>
      </c>
      <c r="C75" s="16" t="s">
        <v>214</v>
      </c>
      <c r="D75" s="273">
        <v>20</v>
      </c>
      <c r="E75" s="273">
        <v>4</v>
      </c>
      <c r="F75" s="273">
        <v>3</v>
      </c>
      <c r="G75" s="273">
        <v>2</v>
      </c>
      <c r="H75" s="273">
        <v>2</v>
      </c>
      <c r="I75" s="273">
        <v>3</v>
      </c>
      <c r="J75" s="273">
        <v>3</v>
      </c>
      <c r="L75" s="273">
        <f>IF(E75&gt;計分版!$C$13,0,1)</f>
        <v>0</v>
      </c>
      <c r="M75" s="273">
        <f>IF(F75&gt;計分版!$D$13,0,1)</f>
        <v>0</v>
      </c>
      <c r="N75" s="273">
        <f>IF(G75&gt;計分版!$E$13,0,1)</f>
        <v>0</v>
      </c>
      <c r="O75" s="273">
        <f>IF(H75&gt;計分版!$F$13,0,1)</f>
        <v>0</v>
      </c>
      <c r="P75" s="273">
        <f>IF(I75&gt;LARGE(計分版!$G$13:$L$13,1),0,1)</f>
        <v>0</v>
      </c>
      <c r="Q75" s="273">
        <f>IF(J75&gt;LARGE(計分版!$G$13:$L$13,2),0,1)</f>
        <v>0</v>
      </c>
      <c r="R75" s="273"/>
      <c r="S75" s="273">
        <f t="shared" si="2"/>
        <v>0</v>
      </c>
      <c r="T75" s="16"/>
      <c r="U75" s="16"/>
      <c r="V75" s="16"/>
      <c r="W75" s="16"/>
      <c r="X75" s="16"/>
      <c r="Y75" s="16"/>
      <c r="Z75" s="16"/>
    </row>
    <row r="76" spans="1:26">
      <c r="A76" s="16" t="s">
        <v>129</v>
      </c>
      <c r="B76" s="16" t="s">
        <v>130</v>
      </c>
      <c r="C76" s="16" t="s">
        <v>214</v>
      </c>
      <c r="D76" s="273">
        <v>14</v>
      </c>
      <c r="E76" s="273">
        <v>3</v>
      </c>
      <c r="F76" s="273">
        <v>4</v>
      </c>
      <c r="G76" s="273">
        <v>2</v>
      </c>
      <c r="H76" s="273">
        <v>2</v>
      </c>
      <c r="I76" s="273">
        <v>3</v>
      </c>
      <c r="J76" s="273">
        <v>3</v>
      </c>
      <c r="L76" s="273">
        <f>IF(E76&gt;計分版!$C$13,0,1)</f>
        <v>0</v>
      </c>
      <c r="M76" s="273">
        <f>IF(F76&gt;計分版!$D$13,0,1)</f>
        <v>0</v>
      </c>
      <c r="N76" s="273">
        <f>IF(G76&gt;計分版!$E$13,0,1)</f>
        <v>0</v>
      </c>
      <c r="O76" s="273">
        <f>IF(H76&gt;計分版!$F$13,0,1)</f>
        <v>0</v>
      </c>
      <c r="P76" s="273">
        <f>IF(I76&gt;LARGE(計分版!$G$13:$L$13,1),0,1)</f>
        <v>0</v>
      </c>
      <c r="Q76" s="273">
        <f>IF(J76&gt;LARGE(計分版!$G$13:$L$13,2),0,1)</f>
        <v>0</v>
      </c>
      <c r="R76" s="273"/>
      <c r="S76" s="273">
        <f t="shared" si="2"/>
        <v>0</v>
      </c>
      <c r="T76" s="16"/>
      <c r="U76" s="16"/>
      <c r="V76" s="16"/>
      <c r="W76" s="16"/>
      <c r="X76" s="16"/>
      <c r="Y76" s="16"/>
      <c r="Z76" s="16"/>
    </row>
    <row r="77" spans="1:26">
      <c r="A77" s="16" t="s">
        <v>131</v>
      </c>
      <c r="B77" s="16" t="s">
        <v>132</v>
      </c>
      <c r="C77" s="16" t="s">
        <v>82</v>
      </c>
      <c r="D77" s="273">
        <v>18</v>
      </c>
      <c r="E77" s="273">
        <v>3</v>
      </c>
      <c r="F77" s="273">
        <v>3</v>
      </c>
      <c r="G77" s="273">
        <v>4</v>
      </c>
      <c r="H77" s="273">
        <v>2</v>
      </c>
      <c r="I77" s="273">
        <v>3</v>
      </c>
      <c r="J77" s="273">
        <v>3</v>
      </c>
      <c r="L77" s="273">
        <f>IF(E77&gt;計分版!$C$13,0,1)</f>
        <v>0</v>
      </c>
      <c r="M77" s="273">
        <f>IF(F77&gt;計分版!$D$13,0,1)</f>
        <v>0</v>
      </c>
      <c r="N77" s="273">
        <f>IF(G77&gt;計分版!$E$13,0,1)</f>
        <v>0</v>
      </c>
      <c r="O77" s="273">
        <f>IF(H77&gt;計分版!$F$13,0,1)</f>
        <v>0</v>
      </c>
      <c r="P77" s="273">
        <f>IF(I77&lt;LARGE(計分版!$H$13:$L$13,1),1,0)</f>
        <v>0</v>
      </c>
      <c r="Q77" s="273">
        <f>IF(計分版!$G$13&gt;3,1,0)</f>
        <v>0</v>
      </c>
      <c r="R77" s="273"/>
      <c r="S77" s="273">
        <f t="shared" si="2"/>
        <v>0</v>
      </c>
      <c r="T77" s="16"/>
      <c r="U77" s="16"/>
      <c r="V77" s="16"/>
      <c r="W77" s="16"/>
      <c r="X77" s="16"/>
      <c r="Y77" s="16"/>
      <c r="Z77" s="16"/>
    </row>
    <row r="78" spans="1:26">
      <c r="A78" s="16" t="s">
        <v>211</v>
      </c>
      <c r="B78" s="16" t="s">
        <v>206</v>
      </c>
      <c r="C78" s="16" t="s">
        <v>214</v>
      </c>
      <c r="D78" s="273">
        <v>21</v>
      </c>
      <c r="E78" s="273">
        <v>3</v>
      </c>
      <c r="F78" s="273">
        <v>3</v>
      </c>
      <c r="G78" s="273">
        <v>2</v>
      </c>
      <c r="H78" s="273">
        <v>2</v>
      </c>
      <c r="I78" s="273">
        <v>3</v>
      </c>
      <c r="J78" s="273">
        <v>3</v>
      </c>
      <c r="L78" s="273">
        <f>IF(E78&gt;計分版!$C$13,0,1)</f>
        <v>0</v>
      </c>
      <c r="M78" s="273">
        <f>IF(F78&gt;計分版!$D$13,0,1)</f>
        <v>0</v>
      </c>
      <c r="N78" s="273">
        <f>IF(G78&gt;計分版!$E$13,0,1)</f>
        <v>0</v>
      </c>
      <c r="O78" s="273">
        <f>IF(H78&gt;計分版!$F$13,0,1)</f>
        <v>0</v>
      </c>
      <c r="P78" s="273">
        <f>IF(I78&gt;LARGE(計分版!$G$13:$L$13,1),0,1)</f>
        <v>0</v>
      </c>
      <c r="Q78" s="273">
        <f>IF(J78&gt;LARGE(計分版!$G$13:$L$13,2),0,1)</f>
        <v>0</v>
      </c>
      <c r="R78" s="273"/>
      <c r="S78" s="273">
        <f t="shared" si="2"/>
        <v>0</v>
      </c>
      <c r="T78" s="16"/>
      <c r="U78" s="16"/>
      <c r="V78" s="16"/>
      <c r="W78" s="16"/>
      <c r="X78" s="16"/>
      <c r="Y78" s="16"/>
      <c r="Z78" s="16"/>
    </row>
    <row r="79" spans="1:26">
      <c r="A79" s="16" t="s">
        <v>133</v>
      </c>
      <c r="B79" s="16" t="s">
        <v>216</v>
      </c>
      <c r="C79" s="16" t="s">
        <v>214</v>
      </c>
      <c r="D79" s="273">
        <v>304</v>
      </c>
      <c r="E79" s="273">
        <v>3</v>
      </c>
      <c r="F79" s="273">
        <v>3</v>
      </c>
      <c r="G79" s="273">
        <v>3</v>
      </c>
      <c r="H79" s="273">
        <v>2</v>
      </c>
      <c r="I79" s="273">
        <v>3</v>
      </c>
      <c r="J79" s="273">
        <v>3</v>
      </c>
      <c r="L79" s="273">
        <f>IF(E79&gt;計分版!$C$13,0,1)</f>
        <v>0</v>
      </c>
      <c r="M79" s="273">
        <f>IF(F79&gt;計分版!$D$13,0,1)</f>
        <v>0</v>
      </c>
      <c r="N79" s="273">
        <f>IF(G79&gt;計分版!$E$13,0,1)</f>
        <v>0</v>
      </c>
      <c r="O79" s="273">
        <f>IF(H79&gt;計分版!$F$13,0,1)</f>
        <v>0</v>
      </c>
      <c r="P79" s="273">
        <f>IF(OR(AND(計分版!$H$1="物理",計分版!$H$13&gt;3),AND(計分版!$H$1="生物",計分版!$H$13&gt;3),AND(計分版!$H$1="化學",計分版!$H$13&gt;3),AND(計分版!$H$1="組合科學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(生物、化學)",計分版!$K$13&gt;3),計分版!$G$13&gt;3),1,0)</f>
        <v>0</v>
      </c>
      <c r="Q79" s="273">
        <f>IF(J79&gt;LARGE(計分版!$G$13:$L$13,2),0,1)</f>
        <v>0</v>
      </c>
      <c r="R79" s="273"/>
      <c r="S79" s="273">
        <f t="shared" si="2"/>
        <v>0</v>
      </c>
      <c r="T79" s="16"/>
      <c r="U79" s="16"/>
      <c r="V79" s="16"/>
      <c r="W79" s="16"/>
      <c r="X79" s="16"/>
      <c r="Y79" s="16"/>
      <c r="Z79" s="16"/>
    </row>
    <row r="80" spans="1:26">
      <c r="A80" s="16" t="s">
        <v>184</v>
      </c>
      <c r="B80" s="16" t="s">
        <v>185</v>
      </c>
      <c r="C80" s="16" t="s">
        <v>214</v>
      </c>
      <c r="D80" s="273">
        <v>30</v>
      </c>
      <c r="E80" s="273">
        <v>3</v>
      </c>
      <c r="F80" s="273">
        <v>3</v>
      </c>
      <c r="G80" s="273">
        <v>4</v>
      </c>
      <c r="H80" s="273">
        <v>3</v>
      </c>
      <c r="I80" s="273">
        <v>3</v>
      </c>
      <c r="J80" s="273">
        <v>3</v>
      </c>
      <c r="L80" s="273">
        <f>IF(E80&gt;計分版!$C$13,0,1)</f>
        <v>0</v>
      </c>
      <c r="M80" s="273">
        <f>IF(F80&gt;計分版!$D$13,0,1)</f>
        <v>0</v>
      </c>
      <c r="N80" s="273">
        <f>IF(G80&gt;計分版!$E$13,0,1)</f>
        <v>0</v>
      </c>
      <c r="O80" s="273">
        <f>IF(H80&gt;計分版!$F$13,0,1)</f>
        <v>0</v>
      </c>
      <c r="P80" s="273">
        <f>IF(I80&gt;LARGE(計分版!$G$13:$L$13,1),0,1)</f>
        <v>0</v>
      </c>
      <c r="Q80" s="273">
        <f>IF(J80&gt;LARGE(計分版!$G$13:$L$13,2),0,1)</f>
        <v>0</v>
      </c>
      <c r="R80" s="273"/>
      <c r="S80" s="273">
        <f t="shared" si="2"/>
        <v>0</v>
      </c>
      <c r="T80" s="16"/>
      <c r="U80" s="16"/>
      <c r="V80" s="16"/>
      <c r="W80" s="16"/>
      <c r="X80" s="16"/>
      <c r="Y80" s="16"/>
      <c r="Z80" s="16"/>
    </row>
    <row r="81" spans="1:26">
      <c r="A81" s="16" t="s">
        <v>186</v>
      </c>
      <c r="B81" s="16" t="s">
        <v>187</v>
      </c>
      <c r="C81" s="16" t="s">
        <v>214</v>
      </c>
      <c r="D81" s="273">
        <v>57</v>
      </c>
      <c r="E81" s="273">
        <v>3</v>
      </c>
      <c r="F81" s="273">
        <v>3</v>
      </c>
      <c r="G81" s="273">
        <v>3</v>
      </c>
      <c r="H81" s="273">
        <v>2</v>
      </c>
      <c r="I81" s="273">
        <v>3</v>
      </c>
      <c r="J81" s="273">
        <v>3</v>
      </c>
      <c r="L81" s="273">
        <f>IF(E81&gt;計分版!$C$13,0,1)</f>
        <v>0</v>
      </c>
      <c r="M81" s="273">
        <f>IF(F81&gt;計分版!$D$13,0,1)</f>
        <v>0</v>
      </c>
      <c r="N81" s="273">
        <f>IF(G81&gt;計分版!$E$13,0,1)</f>
        <v>0</v>
      </c>
      <c r="O81" s="273">
        <f>IF(H81&gt;計分版!$F$13,0,1)</f>
        <v>0</v>
      </c>
      <c r="P81" s="273">
        <f>IF(OR(AND(計分版!$H$1="物理",計分版!$H$13&gt;3),AND(計分版!$H$1="生物",計分版!$H$13&gt;3),AND(計分版!$H$1="化學",計分版!$H$13&gt;3),AND(計分版!$H$1="組合科學 (物理、化學)",計分版!$H$13&gt;3),AND(計分版!$H$1="組合科學 (物理、生物)",計分版!$H$13&gt;3),AND(計分版!$H$1="組合科學 (生物、化學)",計分版!$H$13&gt;3), AND(計分版!$H$1="資訊及通訊科技",計分版!$H$13&gt;3),AND(計分版!$I$1="物理",計分版!$I$13&gt;3),AND(計分版!$I$1="生物",計分版!$I$13&gt;3),AND(計分版!$I$1="化學",計分版!$I$13&gt;3),AND(計分版!$I$1="組合科學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(生物、化學)",計分版!$K$13&gt;3),AND(計分版!$K$1="資訊及通訊科技",計分版!$K$13&gt;3),計分版!$G$13&gt;3),1,0)</f>
        <v>0</v>
      </c>
      <c r="Q81" s="273">
        <f>IF(J81&gt;LARGE(計分版!$G$13:$L$13,2),0,1)</f>
        <v>0</v>
      </c>
      <c r="R81" s="273"/>
      <c r="S81" s="273">
        <f t="shared" ref="S81:S110" si="3">L81*M81*N81*O81*P81*Q81</f>
        <v>0</v>
      </c>
      <c r="T81" s="16"/>
      <c r="U81" s="16"/>
      <c r="V81" s="16"/>
      <c r="W81" s="16"/>
      <c r="X81" s="16"/>
      <c r="Y81" s="16"/>
      <c r="Z81" s="16"/>
    </row>
    <row r="82" spans="1:26">
      <c r="A82" s="16" t="s">
        <v>188</v>
      </c>
      <c r="B82" s="16" t="s">
        <v>189</v>
      </c>
      <c r="C82" s="16" t="s">
        <v>214</v>
      </c>
      <c r="D82" s="273">
        <v>49</v>
      </c>
      <c r="E82" s="273">
        <v>3</v>
      </c>
      <c r="F82" s="273">
        <v>3</v>
      </c>
      <c r="G82" s="273">
        <v>3</v>
      </c>
      <c r="H82" s="273">
        <v>2</v>
      </c>
      <c r="I82" s="273">
        <v>3</v>
      </c>
      <c r="J82" s="273">
        <v>3</v>
      </c>
      <c r="L82" s="273">
        <f>IF(E82&gt;計分版!$C$13,0,1)</f>
        <v>0</v>
      </c>
      <c r="M82" s="273">
        <f>IF(F82&gt;計分版!$D$13,0,1)</f>
        <v>0</v>
      </c>
      <c r="N82" s="273">
        <f>IF(G82&gt;計分版!$E$13,0,1)</f>
        <v>0</v>
      </c>
      <c r="O82" s="273">
        <f>IF(H82&gt;計分版!$F$13,0,1)</f>
        <v>0</v>
      </c>
      <c r="P82" s="273">
        <f>IF(OR(AND(計分版!$H$1="物理",計分版!$H$13&gt;3),AND(計分版!$H$1="生物",計分版!$H$13&gt;3),AND(計分版!$H$1="化學",計分版!$H$13&gt;3),AND(計分版!$H$1="組合科學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(生物、化學)",計分版!$K$13&gt;3),計分版!$G$13&gt;3),1,0)</f>
        <v>0</v>
      </c>
      <c r="Q82" s="273">
        <f>IF(J82&gt;LARGE(計分版!$G$13:$L$13,2),0,1)</f>
        <v>0</v>
      </c>
      <c r="R82" s="273"/>
      <c r="S82" s="273">
        <f t="shared" si="3"/>
        <v>0</v>
      </c>
      <c r="T82" s="16"/>
      <c r="U82" s="16"/>
      <c r="V82" s="16"/>
      <c r="W82" s="16"/>
      <c r="X82" s="16"/>
      <c r="Y82" s="16"/>
      <c r="Z82" s="16"/>
    </row>
    <row r="83" spans="1:26">
      <c r="A83" s="16" t="s">
        <v>190</v>
      </c>
      <c r="B83" s="16" t="s">
        <v>191</v>
      </c>
      <c r="C83" s="16" t="s">
        <v>214</v>
      </c>
      <c r="D83" s="273">
        <v>35</v>
      </c>
      <c r="E83" s="273">
        <v>3</v>
      </c>
      <c r="F83" s="273">
        <v>3</v>
      </c>
      <c r="G83" s="273">
        <v>3</v>
      </c>
      <c r="H83" s="273">
        <v>2</v>
      </c>
      <c r="I83" s="273">
        <v>3</v>
      </c>
      <c r="J83" s="273">
        <v>3</v>
      </c>
      <c r="L83" s="273">
        <f>IF(E83&gt;計分版!$C$13,0,1)</f>
        <v>0</v>
      </c>
      <c r="M83" s="273">
        <f>IF(F83&gt;計分版!$D$13,0,1)</f>
        <v>0</v>
      </c>
      <c r="N83" s="273">
        <f>IF(G83&gt;計分版!$E$13,0,1)</f>
        <v>0</v>
      </c>
      <c r="O83" s="273">
        <f>IF(H83&gt;計分版!$F$13,0,1)</f>
        <v>0</v>
      </c>
      <c r="P83" s="273">
        <f>IF(OR(AND(計分版!$H$1="物理",計分版!$H$13&gt;3),AND(計分版!$H$1="生物",計分版!$H$13&gt;3),AND(計分版!$H$1="化學",計分版!$H$13&gt;3),AND(計分版!$H$1="組合科學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設計與應用科技",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AND(計分版!$I$1="設計與應用科技",計分版!$I$13&gt;3),AND(計分版!$J$1="物理",計分版!$J$13&gt;3),AND(計分版!$J$1="生物",計分版!$J$13&gt;3),AND(計分版!$J$1="化學",計分版!$J$13&gt;3),AND(計分版!$J$1="組合科學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AND(計分版!$J$1="設計與應用科技",計分版!$J$13&gt;3),AND(計分版!$K$1="物理",計分版!$K$13&gt;3),AND(計分版!$K$1="生物",計分版!$K$13&gt;3),AND(計分版!$K$1="化學",計分版!$K$13&gt;3),AND(計分版!$K$1="組合科學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(生物、化學)",計分版!$K$13&gt;3),AND(計分版!$K$1="資訊及通訊科技",計分版!$K$13&gt;3),AND(計分版!$K$1="設計與應用科技",計分版!$K$13&gt;3),計分版!$G$13&gt;3),1,0)</f>
        <v>0</v>
      </c>
      <c r="Q83" s="273">
        <f>IF(J83&gt;LARGE(計分版!$G$13:$L$13,2),0,1)</f>
        <v>0</v>
      </c>
      <c r="R83" s="273"/>
      <c r="S83" s="273">
        <f t="shared" si="3"/>
        <v>0</v>
      </c>
      <c r="T83" s="16"/>
      <c r="U83" s="16"/>
      <c r="V83" s="16"/>
      <c r="W83" s="16"/>
      <c r="X83" s="16"/>
      <c r="Y83" s="16"/>
      <c r="Z83" s="16"/>
    </row>
    <row r="84" spans="1:26">
      <c r="A84" s="16" t="s">
        <v>212</v>
      </c>
      <c r="B84" s="16" t="s">
        <v>217</v>
      </c>
      <c r="C84" s="16" t="s">
        <v>214</v>
      </c>
      <c r="D84" s="273">
        <v>30</v>
      </c>
      <c r="E84" s="273">
        <v>3</v>
      </c>
      <c r="F84" s="273">
        <v>4</v>
      </c>
      <c r="G84" s="273">
        <v>5</v>
      </c>
      <c r="H84" s="273">
        <v>3</v>
      </c>
      <c r="I84" s="273">
        <v>3</v>
      </c>
      <c r="J84" s="273">
        <v>3</v>
      </c>
      <c r="L84" s="273">
        <f>IF(E84&gt;計分版!$C$13,0,1)</f>
        <v>0</v>
      </c>
      <c r="M84" s="273">
        <f>IF(F84&gt;計分版!$D$13,0,1)</f>
        <v>0</v>
      </c>
      <c r="N84" s="273">
        <f>IF(計分版!$E$13&gt;5,1,IF(計分版!$E$13=4.0000000003,2,0))</f>
        <v>0</v>
      </c>
      <c r="O84" s="273">
        <f>IF(H84&gt;計分版!$F$13,0,1)</f>
        <v>0</v>
      </c>
      <c r="P84" s="273">
        <f>IF(I84&gt;LARGE(計分版!$G$13:$L$13,1),0,1)</f>
        <v>0</v>
      </c>
      <c r="Q84" s="273">
        <f>IF(J84&gt;LARGE(計分版!$G$13:$L$13,2),0,1)</f>
        <v>0</v>
      </c>
      <c r="R84" s="273"/>
      <c r="S84" s="273">
        <f t="shared" si="3"/>
        <v>0</v>
      </c>
      <c r="T84" s="16"/>
      <c r="U84" s="16"/>
      <c r="V84" s="16"/>
      <c r="W84" s="16"/>
      <c r="X84" s="16"/>
      <c r="Y84" s="16"/>
      <c r="Z84" s="16"/>
    </row>
    <row r="85" spans="1:26">
      <c r="A85" s="16" t="s">
        <v>134</v>
      </c>
      <c r="B85" s="16" t="s">
        <v>192</v>
      </c>
      <c r="C85" s="16" t="s">
        <v>395</v>
      </c>
      <c r="D85" s="308">
        <v>265</v>
      </c>
      <c r="E85" s="273">
        <v>3</v>
      </c>
      <c r="F85" s="273">
        <v>4</v>
      </c>
      <c r="G85" s="273">
        <v>3</v>
      </c>
      <c r="H85" s="273">
        <v>3</v>
      </c>
      <c r="I85" s="273">
        <v>3</v>
      </c>
      <c r="J85" s="273">
        <v>3</v>
      </c>
      <c r="L85" s="273">
        <f>IF(E85&gt;計分版!$C$13,0,1)</f>
        <v>0</v>
      </c>
      <c r="M85" s="273">
        <f>IF(F85&gt;計分版!$D$13,0,1)</f>
        <v>0</v>
      </c>
      <c r="N85" s="273">
        <f>IF(G85&gt;計分版!$E$13,0,1)</f>
        <v>0</v>
      </c>
      <c r="O85" s="273">
        <f>IF(H85&gt;計分版!$F$13,0,1)</f>
        <v>0</v>
      </c>
      <c r="P85" s="273">
        <f>IF(OR(AND(計分版!$H$1="生物",計分版!$H$13&gt;3),AND(計分版!$H$1="化學",計分版!$H$13&gt;3),AND(計分版!$I$1="生物",計分版!$I$13&gt;3),AND(計分版!$I$1="化學",計分版!$I$13&gt;3),AND(計分版!$J$1="生物",計分版!$J$13&gt;3),AND(計分版!$J$1="化學",計分版!$J$13&gt;3),AND(計分版!$K$1="生物",計分版!$K$13&gt;3),AND(計分版!$K$1="化學",計分版!$K$13&gt;3)),1,0)</f>
        <v>0</v>
      </c>
      <c r="Q85" s="273">
        <f>IF(J85&lt;LARGE(計分版!$H$13:$L$13,2),1,0)</f>
        <v>0</v>
      </c>
      <c r="R85" s="273"/>
      <c r="S85" s="273">
        <f t="shared" si="3"/>
        <v>0</v>
      </c>
      <c r="T85" s="16"/>
      <c r="U85" s="16"/>
      <c r="V85" s="16"/>
      <c r="W85" s="16"/>
      <c r="X85" s="16"/>
      <c r="Y85" s="16"/>
      <c r="Z85" s="16"/>
    </row>
    <row r="86" spans="1:26">
      <c r="A86" s="16" t="s">
        <v>135</v>
      </c>
      <c r="B86" s="16" t="s">
        <v>193</v>
      </c>
      <c r="C86" s="16" t="s">
        <v>395</v>
      </c>
      <c r="D86" s="308"/>
      <c r="E86" s="273">
        <v>3</v>
      </c>
      <c r="F86" s="273">
        <v>4</v>
      </c>
      <c r="G86" s="273">
        <v>3</v>
      </c>
      <c r="H86" s="273">
        <v>3</v>
      </c>
      <c r="I86" s="273">
        <v>3</v>
      </c>
      <c r="J86" s="273">
        <v>3</v>
      </c>
      <c r="L86" s="273">
        <f>IF(E86&gt;計分版!$C$13,0,1)</f>
        <v>0</v>
      </c>
      <c r="M86" s="273">
        <f>IF(F86&gt;計分版!$D$13,0,1)</f>
        <v>0</v>
      </c>
      <c r="N86" s="273">
        <f>IF(G86&gt;計分版!$E$13,0,1)</f>
        <v>0</v>
      </c>
      <c r="O86" s="273">
        <f>IF(H86&gt;計分版!$F$13,0,1)</f>
        <v>0</v>
      </c>
      <c r="P86" s="273">
        <f>IF(OR(AND(計分版!$H$1="生物",計分版!$H$13&gt;3),AND(計分版!$H$1="化學",計分版!$H$13&gt;3),AND(計分版!$I$1="生物",計分版!$I$13&gt;3),AND(計分版!$I$1="化學",計分版!$I$13&gt;3),AND(計分版!$J$1="生物",計分版!$J$13&gt;3),AND(計分版!$J$1="化學",計分版!$J$13&gt;3),AND(計分版!$K$1="生物",計分版!$K$13&gt;3),AND(計分版!$K$1="化學",計分版!$K$13&gt;3)),1,0)</f>
        <v>0</v>
      </c>
      <c r="Q86" s="273">
        <f>IF(J86&lt;LARGE(計分版!$H$13:$L$13,2),1,0)</f>
        <v>0</v>
      </c>
      <c r="R86" s="273"/>
      <c r="S86" s="273">
        <f t="shared" si="3"/>
        <v>0</v>
      </c>
      <c r="T86" s="16"/>
      <c r="U86" s="16"/>
      <c r="V86" s="16"/>
      <c r="W86" s="16"/>
      <c r="X86" s="16"/>
      <c r="Y86" s="16"/>
      <c r="Z86" s="16"/>
    </row>
    <row r="87" spans="1:26">
      <c r="A87" s="16" t="s">
        <v>136</v>
      </c>
      <c r="B87" s="16" t="s">
        <v>137</v>
      </c>
      <c r="C87" s="16" t="s">
        <v>220</v>
      </c>
      <c r="D87" s="273">
        <v>217</v>
      </c>
      <c r="E87" s="273">
        <v>3</v>
      </c>
      <c r="F87" s="273">
        <v>3</v>
      </c>
      <c r="G87" s="273">
        <v>2</v>
      </c>
      <c r="H87" s="273">
        <v>2</v>
      </c>
      <c r="I87" s="273">
        <v>3</v>
      </c>
      <c r="J87" s="273">
        <v>3</v>
      </c>
      <c r="L87" s="273">
        <f>IF(E87&gt;計分版!$C$13,0,1)</f>
        <v>0</v>
      </c>
      <c r="M87" s="273">
        <f>IF(F87&gt;計分版!$D$13,0,1)</f>
        <v>0</v>
      </c>
      <c r="N87" s="273">
        <f>IF(G87&gt;計分版!$E$13,0,1)</f>
        <v>0</v>
      </c>
      <c r="O87" s="273">
        <f>IF(H87&gt;計分版!$F$13,0,1)</f>
        <v>0</v>
      </c>
      <c r="P87" s="273">
        <f>IF(I87&gt;LARGE(計分版!$G$13:$L$13,1),0,1)</f>
        <v>0</v>
      </c>
      <c r="Q87" s="273">
        <f>IF(J87&gt;LARGE(計分版!$G$13:$L$13,2),0,1)</f>
        <v>0</v>
      </c>
      <c r="R87" s="273"/>
      <c r="S87" s="273">
        <f t="shared" si="3"/>
        <v>0</v>
      </c>
      <c r="T87" s="16"/>
      <c r="U87" s="16"/>
      <c r="V87" s="16"/>
      <c r="W87" s="16"/>
      <c r="X87" s="16"/>
      <c r="Y87" s="16"/>
      <c r="Z87" s="16"/>
    </row>
    <row r="88" spans="1:26">
      <c r="A88" s="16" t="s">
        <v>138</v>
      </c>
      <c r="B88" s="16" t="s">
        <v>139</v>
      </c>
      <c r="C88" s="16" t="s">
        <v>215</v>
      </c>
      <c r="D88" s="273">
        <v>61</v>
      </c>
      <c r="E88" s="273">
        <v>3</v>
      </c>
      <c r="F88" s="273">
        <v>3</v>
      </c>
      <c r="G88" s="273">
        <v>3</v>
      </c>
      <c r="H88" s="273">
        <v>3</v>
      </c>
      <c r="I88" s="273">
        <v>3</v>
      </c>
      <c r="J88" s="273">
        <v>3</v>
      </c>
      <c r="L88" s="273">
        <f>IF(E88&gt;計分版!$C$13,0,1)</f>
        <v>0</v>
      </c>
      <c r="M88" s="273">
        <f>IF(F88&gt;計分版!$D$13,0,1)</f>
        <v>0</v>
      </c>
      <c r="N88" s="273">
        <f>IF(G88&gt;計分版!$E$13,0,1)</f>
        <v>0</v>
      </c>
      <c r="O88" s="273">
        <f>IF(H88&gt;計分版!$F$13,0,1)</f>
        <v>0</v>
      </c>
      <c r="P88" s="273">
        <f>IF(I88&gt;LARGE(計分版!$G$13:$L$13,1),0,1)</f>
        <v>0</v>
      </c>
      <c r="Q88" s="273">
        <f>IF(J88&gt;LARGE(計分版!$G$13:$L$13,2),0,1)</f>
        <v>0</v>
      </c>
      <c r="R88" s="273"/>
      <c r="S88" s="273">
        <f t="shared" si="3"/>
        <v>0</v>
      </c>
      <c r="T88" s="16"/>
      <c r="U88" s="16"/>
      <c r="V88" s="16"/>
      <c r="W88" s="16"/>
      <c r="X88" s="16"/>
      <c r="Y88" s="16"/>
      <c r="Z88" s="16"/>
    </row>
    <row r="89" spans="1:26">
      <c r="A89" s="16" t="s">
        <v>140</v>
      </c>
      <c r="B89" s="16" t="s">
        <v>141</v>
      </c>
      <c r="C89" s="16" t="s">
        <v>214</v>
      </c>
      <c r="D89" s="273">
        <v>32</v>
      </c>
      <c r="E89" s="273">
        <v>3</v>
      </c>
      <c r="F89" s="273">
        <v>3</v>
      </c>
      <c r="G89" s="273">
        <v>2</v>
      </c>
      <c r="H89" s="273">
        <v>2</v>
      </c>
      <c r="I89" s="273">
        <v>3</v>
      </c>
      <c r="J89" s="273">
        <v>3</v>
      </c>
      <c r="L89" s="273">
        <f>IF(E89&gt;計分版!$C$13,0,1)</f>
        <v>0</v>
      </c>
      <c r="M89" s="273">
        <f>IF(F89&gt;計分版!$D$13,0,1)</f>
        <v>0</v>
      </c>
      <c r="N89" s="273">
        <f>IF(G89&gt;計分版!$E$13,0,1)</f>
        <v>0</v>
      </c>
      <c r="O89" s="273">
        <f>IF(H89&gt;計分版!$F$13,0,1)</f>
        <v>0</v>
      </c>
      <c r="P89" s="273">
        <f>IF(I89&gt;LARGE(計分版!$G$13:$L$13,1),0,1)</f>
        <v>0</v>
      </c>
      <c r="Q89" s="273">
        <f>IF(J89&gt;LARGE(計分版!$G$13:$L$13,2),0,1)</f>
        <v>0</v>
      </c>
      <c r="R89" s="273"/>
      <c r="S89" s="273">
        <f t="shared" si="3"/>
        <v>0</v>
      </c>
      <c r="T89" s="16"/>
      <c r="U89" s="16"/>
      <c r="V89" s="16"/>
      <c r="W89" s="16"/>
      <c r="X89" s="16"/>
      <c r="Y89" s="16"/>
      <c r="Z89" s="16"/>
    </row>
    <row r="90" spans="1:26">
      <c r="A90" s="16" t="s">
        <v>142</v>
      </c>
      <c r="B90" s="16" t="s">
        <v>143</v>
      </c>
      <c r="C90" s="16" t="s">
        <v>215</v>
      </c>
      <c r="D90" s="273">
        <v>25</v>
      </c>
      <c r="E90" s="273">
        <v>3</v>
      </c>
      <c r="F90" s="273">
        <v>3</v>
      </c>
      <c r="G90" s="273">
        <v>2</v>
      </c>
      <c r="H90" s="273">
        <v>2</v>
      </c>
      <c r="I90" s="273">
        <v>3</v>
      </c>
      <c r="J90" s="273">
        <v>3</v>
      </c>
      <c r="L90" s="273">
        <f>IF(E90&gt;計分版!$C$13,0,1)</f>
        <v>0</v>
      </c>
      <c r="M90" s="273">
        <f>IF(F90&gt;計分版!$D$13,0,1)</f>
        <v>0</v>
      </c>
      <c r="N90" s="273">
        <f>IF(G90&gt;計分版!$E$13,0,1)</f>
        <v>0</v>
      </c>
      <c r="O90" s="273">
        <f>IF(H90&gt;計分版!$F$13,0,1)</f>
        <v>0</v>
      </c>
      <c r="P90" s="273">
        <f>IF(I90&gt;LARGE(計分版!$G$13:$L$13,1),0,1)</f>
        <v>0</v>
      </c>
      <c r="Q90" s="273">
        <f>IF(J90&gt;LARGE(計分版!$G$13:$L$13,2),0,1)</f>
        <v>0</v>
      </c>
      <c r="R90" s="273"/>
      <c r="S90" s="273">
        <f t="shared" si="3"/>
        <v>0</v>
      </c>
      <c r="T90" s="16"/>
      <c r="U90" s="16"/>
      <c r="V90" s="16"/>
      <c r="W90" s="16"/>
      <c r="X90" s="16"/>
      <c r="Y90" s="16"/>
      <c r="Z90" s="16"/>
    </row>
    <row r="91" spans="1:26">
      <c r="A91" s="16" t="s">
        <v>194</v>
      </c>
      <c r="B91" s="16" t="s">
        <v>195</v>
      </c>
      <c r="C91" s="16" t="s">
        <v>215</v>
      </c>
      <c r="D91" s="273">
        <v>20</v>
      </c>
      <c r="E91" s="273">
        <v>3</v>
      </c>
      <c r="F91" s="273">
        <v>3</v>
      </c>
      <c r="G91" s="273">
        <v>3</v>
      </c>
      <c r="H91" s="273">
        <v>2</v>
      </c>
      <c r="I91" s="273">
        <v>3</v>
      </c>
      <c r="J91" s="273">
        <v>3</v>
      </c>
      <c r="L91" s="273">
        <f>IF(E91&gt;計分版!$C$13,0,1)</f>
        <v>0</v>
      </c>
      <c r="M91" s="273">
        <f>IF(F91&gt;計分版!$D$13,0,1)</f>
        <v>0</v>
      </c>
      <c r="N91" s="273">
        <f>IF(G91&gt;計分版!$E$13,0,1)</f>
        <v>0</v>
      </c>
      <c r="O91" s="273">
        <f>IF(H91&gt;計分版!$F$13,0,1)</f>
        <v>0</v>
      </c>
      <c r="P91" s="273">
        <f>IF(OR(COUNTIF(計分版!H1:K1,"化學"),COUNTIF(計分版!H1:K1,"生物")),1,0)</f>
        <v>0</v>
      </c>
      <c r="Q91" s="273">
        <f>IF(J91&lt;LARGE(計分版!$H$13:$K$13,2),1,0)</f>
        <v>0</v>
      </c>
      <c r="R91" s="273"/>
      <c r="S91" s="273">
        <f t="shared" si="3"/>
        <v>0</v>
      </c>
      <c r="T91" s="16"/>
      <c r="U91" s="16"/>
      <c r="V91" s="16"/>
      <c r="W91" s="16"/>
      <c r="X91" s="16"/>
      <c r="Y91" s="16"/>
      <c r="Z91" s="16"/>
    </row>
    <row r="92" spans="1:26">
      <c r="A92" s="16" t="s">
        <v>144</v>
      </c>
      <c r="B92" s="16" t="s">
        <v>145</v>
      </c>
      <c r="C92" s="16" t="s">
        <v>214</v>
      </c>
      <c r="D92" s="273">
        <v>374</v>
      </c>
      <c r="E92" s="273">
        <v>3</v>
      </c>
      <c r="F92" s="273">
        <v>3</v>
      </c>
      <c r="G92" s="273">
        <v>2</v>
      </c>
      <c r="H92" s="273">
        <v>2</v>
      </c>
      <c r="I92" s="273">
        <v>3</v>
      </c>
      <c r="J92" s="273">
        <v>3</v>
      </c>
      <c r="L92" s="273">
        <f>IF(E92&gt;計分版!$C$13,0,1)</f>
        <v>0</v>
      </c>
      <c r="M92" s="273">
        <f>IF(F92&gt;計分版!$D$13,0,1)</f>
        <v>0</v>
      </c>
      <c r="N92" s="273">
        <f>IF(G92&gt;計分版!$E$13,0,1)</f>
        <v>0</v>
      </c>
      <c r="O92" s="273">
        <f>IF(H92&gt;計分版!$F$13,0,1)</f>
        <v>0</v>
      </c>
      <c r="P92" s="273">
        <f>IF(OR(AND(計分版!$H$1="物理",計分版!$H$13&gt;3),AND(計分版!$H$1="生物",計分版!$H$13&gt;3),AND(計分版!$H$1="化學",計分版!$H$13&gt;3),AND(計分版!$H$1="組合科學 (物理、化學)",計分版!$H$13&gt;3),AND(計分版!$H$1="組合科學 (物理、生物)",計分版!$H$13&gt;3),AND(計分版!$H$1="組合科學 (生物、化學)",計分版!$H$13&gt;3), AND(計分版!$H$1="綜合科學",計分版!$H$13&gt;3),AND(計分版!$I$1="物理",計分版!$I$13&gt;3),AND(計分版!$I$1="生物",計分版!$I$13&gt;3),AND(計分版!$I$1="化學",計分版!$I$13&gt;3),AND(計分版!$I$1="組合科學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(生物、化學)",計分版!$K$13&gt;3),AND(計分版!$K$1="資訊及通訊科技",計分版!$K$13&gt;3),計分版!$G$13&gt;3),1,0)</f>
        <v>0</v>
      </c>
      <c r="Q92" s="273">
        <f>IF(J92&lt;LARGE(計分版!$G$13:$K$13,2),1,0)</f>
        <v>0</v>
      </c>
      <c r="R92" s="273"/>
      <c r="S92" s="273">
        <f t="shared" si="3"/>
        <v>0</v>
      </c>
      <c r="T92" s="16"/>
      <c r="U92" s="16"/>
      <c r="V92" s="16"/>
      <c r="W92" s="16"/>
      <c r="X92" s="16"/>
      <c r="Y92" s="16"/>
      <c r="Z92" s="16"/>
    </row>
    <row r="93" spans="1:26">
      <c r="A93" s="16" t="s">
        <v>196</v>
      </c>
      <c r="B93" s="16" t="s">
        <v>197</v>
      </c>
      <c r="C93" s="16" t="s">
        <v>214</v>
      </c>
      <c r="D93" s="273">
        <v>20</v>
      </c>
      <c r="E93" s="273">
        <v>3</v>
      </c>
      <c r="F93" s="273">
        <v>4</v>
      </c>
      <c r="G93" s="273">
        <v>4</v>
      </c>
      <c r="H93" s="273">
        <v>2</v>
      </c>
      <c r="I93" s="273">
        <v>4</v>
      </c>
      <c r="J93" s="273">
        <v>3</v>
      </c>
      <c r="L93" s="273">
        <f>IF(E93&gt;計分版!$C$13,0,1)</f>
        <v>0</v>
      </c>
      <c r="M93" s="273">
        <f>IF(F93&gt;計分版!$D$13,0,1)</f>
        <v>0</v>
      </c>
      <c r="N93" s="273">
        <f>IF(G93&gt;計分版!$E$13,0,1)</f>
        <v>0</v>
      </c>
      <c r="O93" s="273">
        <f>IF(H93&gt;計分版!$F$13,0,1)</f>
        <v>0</v>
      </c>
      <c r="P93" s="273">
        <f>IF(OR(AND(計分版!$H$1="物理",計分版!$H$13&gt;4),AND(計分版!$H$1="地理",計分版!$H$13&gt;4),AND(計分版!$H$1="化學",計分版!$H$13&gt;4),AND(計分版!$H$1="組合科學 (物理、化學)",計分版!$H$13&gt;4),AND(計分版!$H$1="組合科學 (物理、生物)",計分版!$H$13&gt;4),AND(計分版!$H$1="組合科學 (生物、化學)",計分版!$H$13&gt;4),AND(計分版!$I$1="物理",計分版!$I$13&gt;4),AND(計分版!$I$1="地理",計分版!$I$13&gt;4),AND(計分版!$I$1="化學",計分版!$I$13&gt;4),AND(計分版!$I$1="組合科學 (物理、化學)",計分版!$I$13&gt;4),AND(計分版!$I$1="組合科學 (物理、生物)",計分版!$I$13&gt;4),AND(計分版!$I$1="組合科學 (生物、化學)",計分版!$I$13&gt;4),AND(計分版!$J$1="物理",計分版!$J$13&gt;4),AND(計分版!$J$1="地理",計分版!$J$13&gt;4),AND(計分版!$J$1="化學",計分版!$J$13&gt;4),AND(計分版!$J$1="組合科學 (物理、化學)",計分版!$J$13&gt;4),AND(計分版!$J$1="組合科學 (物理、生物)",計分版!$J$13&gt;4),AND(計分版!$J$1="組合科學 (生物、化學)",計分版!$J$13&gt;4),AND(計分版!$K$1="物理",計分版!$K$13&gt;4),AND(計分版!$K$1="地理",計分版!$K$13&gt;4),AND(計分版!$K$1="化學",計分版!$K$13&gt;4),AND(計分版!$K$1="組合科學 (物理、化學)",計分版!$K$13&gt;4),AND(計分版!$K$1="組合科學 (物理、生物)",計分版!$K$13&gt;4),AND(計分版!$K$1="組合科學 (生物、化學)",計分版!$K$13&gt;4),計分版!$G$13&gt;4),1,0)</f>
        <v>0</v>
      </c>
      <c r="Q93" s="273">
        <f>IF(J93&lt;計分版!$V$115,1,0)</f>
        <v>0</v>
      </c>
      <c r="R93" s="273"/>
      <c r="S93" s="273">
        <f t="shared" si="3"/>
        <v>0</v>
      </c>
      <c r="T93" s="16"/>
      <c r="U93" s="16"/>
      <c r="V93" s="16"/>
      <c r="W93" s="16"/>
      <c r="X93" s="16"/>
      <c r="Y93" s="16"/>
      <c r="Z93" s="16"/>
    </row>
    <row r="94" spans="1:26">
      <c r="A94" s="16" t="s">
        <v>146</v>
      </c>
      <c r="B94" s="16" t="s">
        <v>392</v>
      </c>
      <c r="C94" s="16" t="s">
        <v>214</v>
      </c>
      <c r="D94" s="273">
        <v>27</v>
      </c>
      <c r="E94" s="273">
        <v>3</v>
      </c>
      <c r="F94" s="273">
        <v>3</v>
      </c>
      <c r="G94" s="273">
        <v>4</v>
      </c>
      <c r="H94" s="273">
        <v>2</v>
      </c>
      <c r="I94" s="273">
        <v>3</v>
      </c>
      <c r="J94" s="273">
        <v>4</v>
      </c>
      <c r="L94" s="273">
        <f>IF(E94&gt;計分版!$C$13,0,1)</f>
        <v>0</v>
      </c>
      <c r="M94" s="273">
        <f>IF(F94&gt;計分版!$D$13,0,1)</f>
        <v>0</v>
      </c>
      <c r="N94" s="273">
        <f>IF(G94&gt;計分版!$E$13,0,1)</f>
        <v>0</v>
      </c>
      <c r="O94" s="273">
        <f>IF(H94&gt;計分版!$F$13,0,1)</f>
        <v>0</v>
      </c>
      <c r="P94" s="273">
        <f>IF(OR(AND(計分版!$H$1="物理",計分版!$H$13&gt;3),AND(計分版!$H$1="生物",計分版!$H$13&gt;3),AND(計分版!$H$1="化學",計分版!$H$13&gt;3),AND(計分版!$H$1="組合科學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(生物、化學)",計分版!$H$13&gt;3),AND(計分版!$H$1="資訊及通訊科技",計分版!$H$13&gt;3),AND(計分版!$H$1="綜合科學",計分版!$H$13&gt;3),  AND(計分版!$H$1="經濟",計分版!$H$13&gt;3), AND(計分版!$H$1="地理",計分版!$H$13&gt;3), AND(計分版!$H$1="科技與生活",計分版!$H$13&gt;3),  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AND(計分版!$I$1="綜合科學",計分版!$I$13&gt;3), AND(計分版!$I$1="經濟",計分版!$I$13&gt;3), AND(計分版!$I$1="地理",計分版!$I$13&gt;3), AND(計分版!$I$1="科技與生活",計分版!$I$13&gt;3),  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AND(計分版!$J$1="綜合科學",計分版!$J$13&gt;3), AND(計分版!$J$1="經濟",計分版!$J$13&gt;3), AND(計分版!$J$1="地理",計分版!$J$13&gt;3), AND(計分版!$J$1="科技與生活",計分版!$J$13&gt;3),  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(生物、化學)",計分版!$K$13&gt;3),AND(計分版!$K$1="資訊及通訊科技",計分版!$K$13&gt;3),AND(計分版!$K$1="綜合科學",計分版!$K$13&gt;3), AND(計分版!$K$1="經濟",計分版!$K$13&gt;3), AND(計分版!$K$1="地理",計分版!$K$13&gt;3), AND(計分版!$K$1="科技與生活",計分版!$K$13&gt;3)),1,0)</f>
        <v>0</v>
      </c>
      <c r="Q94" s="273">
        <f>IF(J94&lt;計分版!$G$13,1,0)</f>
        <v>0</v>
      </c>
      <c r="R94" s="273"/>
      <c r="S94" s="273">
        <f t="shared" si="3"/>
        <v>0</v>
      </c>
      <c r="T94" s="16"/>
      <c r="U94" s="16"/>
      <c r="V94" s="16"/>
      <c r="W94" s="16"/>
      <c r="X94" s="16"/>
      <c r="Y94" s="16"/>
      <c r="Z94" s="16"/>
    </row>
    <row r="95" spans="1:26">
      <c r="A95" s="16" t="s">
        <v>147</v>
      </c>
      <c r="B95" s="16" t="s">
        <v>199</v>
      </c>
      <c r="C95" s="16" t="s">
        <v>82</v>
      </c>
      <c r="D95" s="273">
        <v>20</v>
      </c>
      <c r="E95" s="273">
        <v>3</v>
      </c>
      <c r="F95" s="273">
        <v>3</v>
      </c>
      <c r="G95" s="273">
        <v>4</v>
      </c>
      <c r="H95" s="273">
        <v>2</v>
      </c>
      <c r="I95" s="273">
        <v>4</v>
      </c>
      <c r="J95" s="273">
        <v>3</v>
      </c>
      <c r="L95" s="273">
        <f>IF(E95&gt;計分版!$C$13,0,1)</f>
        <v>0</v>
      </c>
      <c r="M95" s="273">
        <f>IF(F95&gt;計分版!$D$13,0,1)</f>
        <v>0</v>
      </c>
      <c r="N95" s="273">
        <f>IF(G95&gt;計分版!$E$13,0,1)</f>
        <v>0</v>
      </c>
      <c r="O95" s="273">
        <f>IF(H95&gt;計分版!$F$13,0,1)</f>
        <v>0</v>
      </c>
      <c r="P95" s="273">
        <f>IF(OR(AND(計分版!$H$1="物理",計分版!$H$13&gt;4),AND(計分版!$I$1="物理",計分版!$I$13&gt;4),AND(計分版!$J$1="物理",計分版!$J$13&gt;4), AND(計分版!$K$1="物理",計分版!$K$13&gt;4)),1,0)</f>
        <v>0</v>
      </c>
      <c r="Q95" s="273">
        <f>IF(OR(AND(計分版!$H$1="物理",計分版!$H$13&gt;3),AND(計分版!$H$1="生物",計分版!$H$13&gt;3),AND(計分版!$H$1="化學",計分版!$H$13&gt;3),AND(計分版!$H$1="組合科學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(生物、化學)",計分版!$H$13&gt;3),AND(計分版!$H$1="資訊及通訊科技",計分版!$H$13&gt;3),AND(計分版!$H$1="綜合科學",計分版!$H$13&gt;3),  AND(計分版!$H$1="經濟",計分版!$H$13&gt;3), AND(計分版!$H$1="地理",計分版!$H$13&gt;3), AND(計分版!$H$1="科技與生活",計分版!$H$13&gt;3),  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AND(計分版!$I$1="綜合科學",計分版!$I$13&gt;3), AND(計分版!$I$1="經濟",計分版!$I$13&gt;3), AND(計分版!$I$1="地理",計分版!$I$13&gt;3), AND(計分版!$I$1="科技與生活",計分版!$I$13&gt;3),  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AND(計分版!$J$1="綜合科學",計分版!$J$13&gt;3), AND(計分版!$J$1="經濟",計分版!$J$13&gt;3), AND(計分版!$J$1="地理",計分版!$J$13&gt;3), AND(計分版!$J$1="科技與生活",計分版!$J$13&gt;3),  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(生物、化學)",計分版!$K$13&gt;3),AND(計分版!$K$1="資訊及通訊科技",計分版!$K$13&gt;3),AND(計分版!$K$1="綜合科學",計分版!$K$13&gt;3), AND(計分版!$K$1="經濟",計分版!$K$13&gt;3), AND(計分版!$K$1="地理",計分版!$K$13&gt;3), AND(計分版!$K$1="科技與生活",計分版!$K$13&gt;3), 計分版!$G$13&gt;3),1,0)</f>
        <v>0</v>
      </c>
      <c r="R95" s="273"/>
      <c r="S95" s="273">
        <f t="shared" si="3"/>
        <v>0</v>
      </c>
      <c r="T95" s="16"/>
      <c r="U95" s="16"/>
      <c r="V95" s="16"/>
      <c r="W95" s="16"/>
      <c r="X95" s="16"/>
      <c r="Y95" s="16"/>
      <c r="Z95" s="16"/>
    </row>
    <row r="96" spans="1:26">
      <c r="A96" s="16" t="s">
        <v>148</v>
      </c>
      <c r="B96" s="16" t="s">
        <v>149</v>
      </c>
      <c r="C96" s="16" t="s">
        <v>214</v>
      </c>
      <c r="D96" s="273">
        <v>26</v>
      </c>
      <c r="E96" s="273">
        <v>3</v>
      </c>
      <c r="F96" s="273">
        <v>3</v>
      </c>
      <c r="G96" s="273">
        <v>3</v>
      </c>
      <c r="H96" s="273">
        <v>2</v>
      </c>
      <c r="I96" s="273">
        <v>3</v>
      </c>
      <c r="J96" s="273">
        <v>3</v>
      </c>
      <c r="L96" s="273">
        <f>IF(E96&gt;計分版!$C$13,0,1)</f>
        <v>0</v>
      </c>
      <c r="M96" s="273">
        <f>IF(F96&gt;計分版!$D$13,0,1)</f>
        <v>0</v>
      </c>
      <c r="N96" s="273">
        <f>IF(G96&gt;計分版!$E$13,0,1)</f>
        <v>0</v>
      </c>
      <c r="O96" s="273">
        <f>IF(H96&gt;計分版!$F$13,0,1)</f>
        <v>0</v>
      </c>
      <c r="P96" s="273">
        <f>IF(I96&lt;=LARGE(計分版!$H$13:$K$13,1),1,0)</f>
        <v>0</v>
      </c>
      <c r="Q96" s="273">
        <f>IF(計分版!$G$13&gt;3,1,0)</f>
        <v>0</v>
      </c>
      <c r="R96" s="273"/>
      <c r="S96" s="273">
        <f t="shared" si="3"/>
        <v>0</v>
      </c>
      <c r="T96" s="16"/>
      <c r="U96" s="16"/>
      <c r="V96" s="16"/>
      <c r="W96" s="16"/>
      <c r="X96" s="16"/>
      <c r="Y96" s="16"/>
      <c r="Z96" s="16"/>
    </row>
    <row r="97" spans="1:26">
      <c r="A97" s="16" t="s">
        <v>150</v>
      </c>
      <c r="B97" s="16" t="s">
        <v>151</v>
      </c>
      <c r="C97" s="16" t="s">
        <v>214</v>
      </c>
      <c r="D97" s="273">
        <v>65</v>
      </c>
      <c r="E97" s="273">
        <v>3</v>
      </c>
      <c r="F97" s="273">
        <v>3</v>
      </c>
      <c r="G97" s="273">
        <v>2</v>
      </c>
      <c r="H97" s="273">
        <v>2</v>
      </c>
      <c r="I97" s="273">
        <v>3</v>
      </c>
      <c r="J97" s="273">
        <v>3</v>
      </c>
      <c r="L97" s="273">
        <f>IF(E97&gt;計分版!$C$13,0,1)</f>
        <v>0</v>
      </c>
      <c r="M97" s="273">
        <f>IF(F97&gt;計分版!$D$13,0,1)</f>
        <v>0</v>
      </c>
      <c r="N97" s="273">
        <f>IF(G97&gt;計分版!$E$13,0,1)</f>
        <v>0</v>
      </c>
      <c r="O97" s="273">
        <f>IF(H97&gt;計分版!$F$13,0,1)</f>
        <v>0</v>
      </c>
      <c r="P97" s="273">
        <f>IF(I97&gt;LARGE(計分版!$G$13:$L$13,1),0,1)</f>
        <v>0</v>
      </c>
      <c r="Q97" s="273">
        <f>IF(J97&gt;LARGE(計分版!$G$13:$L$13,2),0,1)</f>
        <v>0</v>
      </c>
      <c r="R97" s="273"/>
      <c r="S97" s="273">
        <f t="shared" si="3"/>
        <v>0</v>
      </c>
      <c r="T97" s="16"/>
      <c r="U97" s="16"/>
      <c r="V97" s="16"/>
      <c r="W97" s="16"/>
      <c r="X97" s="16"/>
      <c r="Y97" s="16"/>
      <c r="Z97" s="16"/>
    </row>
    <row r="98" spans="1:26">
      <c r="A98" s="16" t="s">
        <v>152</v>
      </c>
      <c r="B98" s="16" t="s">
        <v>153</v>
      </c>
      <c r="C98" s="16" t="s">
        <v>214</v>
      </c>
      <c r="D98" s="273">
        <v>32</v>
      </c>
      <c r="E98" s="273">
        <v>3</v>
      </c>
      <c r="F98" s="273">
        <v>3</v>
      </c>
      <c r="G98" s="273">
        <v>3</v>
      </c>
      <c r="H98" s="273">
        <v>3</v>
      </c>
      <c r="I98" s="273">
        <v>3</v>
      </c>
      <c r="J98" s="273">
        <v>3</v>
      </c>
      <c r="L98" s="273">
        <f>IF(E98&gt;計分版!$C$13,0,1)</f>
        <v>0</v>
      </c>
      <c r="M98" s="273">
        <f>IF(F98&gt;計分版!$D$13,0,1)</f>
        <v>0</v>
      </c>
      <c r="N98" s="273">
        <f>IF(G98&gt;計分版!$E$13,0,1)</f>
        <v>0</v>
      </c>
      <c r="O98" s="273">
        <f>IF(H98&gt;計分版!$F$13,0,1)</f>
        <v>0</v>
      </c>
      <c r="P98" s="273">
        <f>IF(I98&gt;LARGE(計分版!$G$13:$L$13,1),0,1)</f>
        <v>0</v>
      </c>
      <c r="Q98" s="273">
        <f>IF(J98&gt;LARGE(計分版!$G$13:$L$13,2),0,1)</f>
        <v>0</v>
      </c>
      <c r="R98" s="273"/>
      <c r="S98" s="273">
        <f t="shared" si="3"/>
        <v>0</v>
      </c>
      <c r="T98" s="16"/>
      <c r="U98" s="16"/>
      <c r="V98" s="16"/>
      <c r="W98" s="16"/>
      <c r="X98" s="16"/>
      <c r="Y98" s="16"/>
      <c r="Z98" s="16"/>
    </row>
    <row r="99" spans="1:26">
      <c r="A99" s="16" t="s">
        <v>154</v>
      </c>
      <c r="B99" s="16" t="s">
        <v>200</v>
      </c>
      <c r="C99" s="16" t="s">
        <v>214</v>
      </c>
      <c r="D99" s="273">
        <v>67</v>
      </c>
      <c r="E99" s="273">
        <v>3</v>
      </c>
      <c r="F99" s="273">
        <v>3</v>
      </c>
      <c r="G99" s="273">
        <v>3</v>
      </c>
      <c r="H99" s="273">
        <v>2</v>
      </c>
      <c r="I99" s="273">
        <v>3</v>
      </c>
      <c r="J99" s="273">
        <v>3</v>
      </c>
      <c r="L99" s="273">
        <f>IF(E99&gt;計分版!$C$13,0,1)</f>
        <v>0</v>
      </c>
      <c r="M99" s="273">
        <f>IF(F99&gt;計分版!$D$13,0,1)</f>
        <v>0</v>
      </c>
      <c r="N99" s="273">
        <f>IF(G99&gt;計分版!$E$13,0,1)</f>
        <v>0</v>
      </c>
      <c r="O99" s="273">
        <f>IF(H99&gt;計分版!$F$13,0,1)</f>
        <v>0</v>
      </c>
      <c r="P99" s="273">
        <f>IF(I99&gt;LARGE(計分版!$G$13:$L$13,1),0,1)</f>
        <v>0</v>
      </c>
      <c r="Q99" s="273">
        <f>IF(J99&gt;LARGE(計分版!$G$13:$L$13,2),0,1)</f>
        <v>0</v>
      </c>
      <c r="R99" s="273"/>
      <c r="S99" s="273">
        <f t="shared" si="3"/>
        <v>0</v>
      </c>
      <c r="T99" s="16"/>
      <c r="U99" s="16"/>
      <c r="V99" s="16"/>
      <c r="W99" s="16"/>
      <c r="X99" s="16"/>
      <c r="Y99" s="16"/>
      <c r="Z99" s="16"/>
    </row>
    <row r="100" spans="1:26">
      <c r="A100" s="16" t="s">
        <v>155</v>
      </c>
      <c r="B100" s="16" t="s">
        <v>201</v>
      </c>
      <c r="C100" s="16" t="s">
        <v>214</v>
      </c>
      <c r="D100" s="273">
        <v>40</v>
      </c>
      <c r="E100" s="273">
        <v>3</v>
      </c>
      <c r="F100" s="273">
        <v>3</v>
      </c>
      <c r="G100" s="273">
        <v>2</v>
      </c>
      <c r="H100" s="273">
        <v>2</v>
      </c>
      <c r="I100" s="273">
        <v>3</v>
      </c>
      <c r="J100" s="273">
        <v>3</v>
      </c>
      <c r="L100" s="273">
        <f>IF(E100&gt;計分版!$C$13,0,1)</f>
        <v>0</v>
      </c>
      <c r="M100" s="273">
        <f>IF(F100&gt;計分版!$D$13,0,1)</f>
        <v>0</v>
      </c>
      <c r="N100" s="273">
        <f>IF(G100&gt;計分版!$E$13,0,1)</f>
        <v>0</v>
      </c>
      <c r="O100" s="273">
        <f>IF(H100&gt;計分版!$F$13,0,1)</f>
        <v>0</v>
      </c>
      <c r="P100" s="273">
        <f>IF(I100&gt;LARGE(計分版!$G$13:$L$13,1),0,1)</f>
        <v>0</v>
      </c>
      <c r="Q100" s="273">
        <f>IF(J100&gt;LARGE(計分版!$G$13:$L$13,2),0,1)</f>
        <v>0</v>
      </c>
      <c r="R100" s="273"/>
      <c r="S100" s="273">
        <f t="shared" si="3"/>
        <v>0</v>
      </c>
      <c r="T100" s="16"/>
      <c r="U100" s="16"/>
      <c r="V100" s="16"/>
      <c r="W100" s="16"/>
      <c r="X100" s="16"/>
      <c r="Y100" s="16"/>
      <c r="Z100" s="16"/>
    </row>
    <row r="101" spans="1:26">
      <c r="A101" s="16" t="s">
        <v>156</v>
      </c>
      <c r="B101" s="16" t="s">
        <v>157</v>
      </c>
      <c r="C101" s="16" t="s">
        <v>214</v>
      </c>
      <c r="D101" s="273">
        <v>20</v>
      </c>
      <c r="E101" s="273">
        <v>3</v>
      </c>
      <c r="F101" s="273">
        <v>3</v>
      </c>
      <c r="G101" s="273">
        <v>2</v>
      </c>
      <c r="H101" s="273">
        <v>2</v>
      </c>
      <c r="I101" s="273">
        <v>3</v>
      </c>
      <c r="J101" s="273">
        <v>3</v>
      </c>
      <c r="L101" s="273">
        <f>IF(E101&gt;計分版!$C$13,0,1)</f>
        <v>0</v>
      </c>
      <c r="M101" s="273">
        <f>IF(F101&gt;計分版!$D$13,0,1)</f>
        <v>0</v>
      </c>
      <c r="N101" s="273">
        <f>IF(G101&gt;計分版!$E$13,0,1)</f>
        <v>0</v>
      </c>
      <c r="O101" s="273">
        <f>IF(H101&gt;計分版!$F$13,0,1)</f>
        <v>0</v>
      </c>
      <c r="P101" s="273">
        <f>IF(I101&gt;LARGE(計分版!$G$13:$L$13,1),0,1)</f>
        <v>0</v>
      </c>
      <c r="Q101" s="273">
        <f>IF(J101&gt;LARGE(計分版!$G$13:$L$13,2),0,1)</f>
        <v>0</v>
      </c>
      <c r="R101" s="273"/>
      <c r="S101" s="273">
        <f t="shared" si="3"/>
        <v>0</v>
      </c>
      <c r="T101" s="16"/>
      <c r="U101" s="16"/>
      <c r="V101" s="16"/>
      <c r="W101" s="16"/>
      <c r="X101" s="16"/>
      <c r="Y101" s="16"/>
      <c r="Z101" s="16"/>
    </row>
    <row r="102" spans="1:26">
      <c r="A102" s="16" t="s">
        <v>158</v>
      </c>
      <c r="B102" s="16" t="s">
        <v>159</v>
      </c>
      <c r="C102" s="16" t="s">
        <v>215</v>
      </c>
      <c r="D102" s="273">
        <v>38</v>
      </c>
      <c r="E102" s="273">
        <v>3</v>
      </c>
      <c r="F102" s="273">
        <v>3</v>
      </c>
      <c r="G102" s="273">
        <v>2</v>
      </c>
      <c r="H102" s="273">
        <v>3</v>
      </c>
      <c r="I102" s="273">
        <v>3</v>
      </c>
      <c r="J102" s="273">
        <v>3</v>
      </c>
      <c r="L102" s="273">
        <f>IF(E102&gt;計分版!$C$13,0,1)</f>
        <v>0</v>
      </c>
      <c r="M102" s="273">
        <f>IF(F102&gt;計分版!$D$13,0,1)</f>
        <v>0</v>
      </c>
      <c r="N102" s="273">
        <f>IF(G102&gt;計分版!$E$13,0,1)</f>
        <v>0</v>
      </c>
      <c r="O102" s="273">
        <f>IF(H102&gt;計分版!$F$13,0,1)</f>
        <v>0</v>
      </c>
      <c r="P102" s="273">
        <f>IF(I102&gt;LARGE(計分版!$G$13:$L$13,1),0,1)</f>
        <v>0</v>
      </c>
      <c r="Q102" s="273">
        <f>IF(J102&gt;LARGE(計分版!$G$13:$L$13,2),0,1)</f>
        <v>0</v>
      </c>
      <c r="R102" s="273"/>
      <c r="S102" s="273">
        <f t="shared" si="3"/>
        <v>0</v>
      </c>
      <c r="T102" s="16"/>
      <c r="U102" s="16"/>
      <c r="V102" s="16"/>
      <c r="W102" s="16"/>
      <c r="X102" s="16"/>
      <c r="Y102" s="16"/>
      <c r="Z102" s="16"/>
    </row>
    <row r="103" spans="1:26">
      <c r="A103" s="16" t="s">
        <v>160</v>
      </c>
      <c r="B103" s="16" t="s">
        <v>161</v>
      </c>
      <c r="C103" s="16" t="s">
        <v>214</v>
      </c>
      <c r="D103" s="273">
        <v>43</v>
      </c>
      <c r="E103" s="273">
        <v>3</v>
      </c>
      <c r="F103" s="273">
        <v>3</v>
      </c>
      <c r="G103" s="273">
        <v>2</v>
      </c>
      <c r="H103" s="273">
        <v>2</v>
      </c>
      <c r="I103" s="273">
        <v>3</v>
      </c>
      <c r="J103" s="273">
        <v>3</v>
      </c>
      <c r="L103" s="273">
        <f>IF(E103&gt;計分版!$C$13,0,1)</f>
        <v>0</v>
      </c>
      <c r="M103" s="273">
        <f>IF(F103&gt;計分版!$D$13,0,1)</f>
        <v>0</v>
      </c>
      <c r="N103" s="273">
        <f>IF(G103&gt;計分版!$E$13,0,1)</f>
        <v>0</v>
      </c>
      <c r="O103" s="273">
        <f>IF(H103&gt;計分版!$F$13,0,1)</f>
        <v>0</v>
      </c>
      <c r="P103" s="273">
        <f>IF(I103&gt;LARGE(計分版!$G$13:$L$13,1),0,1)</f>
        <v>0</v>
      </c>
      <c r="Q103" s="273">
        <f>IF(J103&gt;LARGE(計分版!$G$13:$L$13,2),0,1)</f>
        <v>0</v>
      </c>
      <c r="R103" s="273"/>
      <c r="S103" s="273">
        <f t="shared" si="3"/>
        <v>0</v>
      </c>
      <c r="T103" s="16"/>
      <c r="U103" s="16"/>
      <c r="V103" s="16"/>
      <c r="W103" s="16"/>
      <c r="X103" s="16"/>
      <c r="Y103" s="16"/>
      <c r="Z103" s="16"/>
    </row>
    <row r="104" spans="1:26">
      <c r="A104" s="16" t="s">
        <v>202</v>
      </c>
      <c r="B104" s="16" t="s">
        <v>203</v>
      </c>
      <c r="C104" s="16" t="s">
        <v>214</v>
      </c>
      <c r="D104" s="273">
        <v>18</v>
      </c>
      <c r="E104" s="273">
        <v>3</v>
      </c>
      <c r="F104" s="273">
        <v>4</v>
      </c>
      <c r="G104" s="273">
        <v>2</v>
      </c>
      <c r="H104" s="273">
        <v>2</v>
      </c>
      <c r="I104" s="273">
        <v>3</v>
      </c>
      <c r="J104" s="273">
        <v>3</v>
      </c>
      <c r="L104" s="273">
        <f>IF(E104&gt;計分版!$C$13,0,1)</f>
        <v>0</v>
      </c>
      <c r="M104" s="273">
        <f>IF(F104&gt;計分版!$D$13,0,1)</f>
        <v>0</v>
      </c>
      <c r="N104" s="273">
        <f>IF(G104&gt;計分版!$E$13,0,1)</f>
        <v>0</v>
      </c>
      <c r="O104" s="273">
        <f>IF(H104&gt;計分版!$F$13,0,1)</f>
        <v>0</v>
      </c>
      <c r="P104" s="273">
        <f>IF(I104&gt;LARGE(計分版!$G$13:$L$13,1),0,1)</f>
        <v>0</v>
      </c>
      <c r="Q104" s="273">
        <f>IF(J104&gt;LARGE(計分版!$G$13:$L$13,2),0,1)</f>
        <v>0</v>
      </c>
      <c r="R104" s="273"/>
      <c r="S104" s="273">
        <f t="shared" si="3"/>
        <v>0</v>
      </c>
      <c r="T104" s="16"/>
      <c r="U104" s="16"/>
      <c r="V104" s="16"/>
      <c r="W104" s="16"/>
      <c r="X104" s="16"/>
      <c r="Y104" s="16"/>
      <c r="Z104" s="16"/>
    </row>
    <row r="105" spans="1:26">
      <c r="A105" s="16" t="s">
        <v>391</v>
      </c>
      <c r="B105" s="16" t="s">
        <v>163</v>
      </c>
      <c r="C105" s="16" t="s">
        <v>214</v>
      </c>
      <c r="D105" s="273">
        <v>54</v>
      </c>
      <c r="E105" s="273">
        <v>3</v>
      </c>
      <c r="F105" s="273">
        <v>3</v>
      </c>
      <c r="G105" s="273">
        <v>2</v>
      </c>
      <c r="H105" s="273">
        <v>2</v>
      </c>
      <c r="I105" s="273">
        <v>3</v>
      </c>
      <c r="J105" s="273">
        <v>3</v>
      </c>
      <c r="L105" s="273">
        <f>IF(E105&gt;計分版!$C$13,0,1)</f>
        <v>0</v>
      </c>
      <c r="M105" s="273">
        <f>IF(F105&gt;計分版!$D$13,0,1)</f>
        <v>0</v>
      </c>
      <c r="N105" s="273">
        <f>IF(G105&gt;計分版!$E$13,0,1)</f>
        <v>0</v>
      </c>
      <c r="O105" s="273">
        <f>IF(H105&gt;計分版!$F$13,0,1)</f>
        <v>0</v>
      </c>
      <c r="P105" s="273">
        <f>IF(I105&gt;LARGE(計分版!$G$13:$L$13,1),0,1)</f>
        <v>0</v>
      </c>
      <c r="Q105" s="273">
        <f>IF(J105&gt;LARGE(計分版!$G$13:$L$13,2),0,1)</f>
        <v>0</v>
      </c>
      <c r="R105" s="273"/>
      <c r="S105" s="273">
        <f t="shared" si="3"/>
        <v>0</v>
      </c>
      <c r="T105" s="16"/>
      <c r="U105" s="16"/>
      <c r="V105" s="16"/>
      <c r="W105" s="16"/>
      <c r="X105" s="16"/>
      <c r="Y105" s="16"/>
      <c r="Z105" s="16"/>
    </row>
    <row r="106" spans="1:26">
      <c r="A106" s="16" t="s">
        <v>164</v>
      </c>
      <c r="B106" s="16" t="s">
        <v>165</v>
      </c>
      <c r="C106" s="16" t="s">
        <v>214</v>
      </c>
      <c r="D106" s="273">
        <v>46</v>
      </c>
      <c r="E106" s="273">
        <v>3</v>
      </c>
      <c r="F106" s="273">
        <v>3</v>
      </c>
      <c r="G106" s="273">
        <v>2</v>
      </c>
      <c r="H106" s="273">
        <v>3</v>
      </c>
      <c r="I106" s="273">
        <v>3</v>
      </c>
      <c r="J106" s="273">
        <v>3</v>
      </c>
      <c r="L106" s="273">
        <f>IF(E106&gt;計分版!$C$13,0,1)</f>
        <v>0</v>
      </c>
      <c r="M106" s="273">
        <f>IF(F106&gt;計分版!$D$13,0,1)</f>
        <v>0</v>
      </c>
      <c r="N106" s="273">
        <f>IF(G106&gt;計分版!$E$13,0,1)</f>
        <v>0</v>
      </c>
      <c r="O106" s="273">
        <f>IF(H106&gt;計分版!$F$13,0,1)</f>
        <v>0</v>
      </c>
      <c r="P106" s="273">
        <f>IF(I106&gt;LARGE(計分版!$G$13:$L$13,1),0,1)</f>
        <v>0</v>
      </c>
      <c r="Q106" s="273">
        <f>IF(J106&gt;LARGE(計分版!$G$13:$L$13,2),0,1)</f>
        <v>0</v>
      </c>
      <c r="R106" s="273"/>
      <c r="S106" s="273">
        <f t="shared" si="3"/>
        <v>0</v>
      </c>
      <c r="T106" s="16"/>
      <c r="U106" s="16"/>
      <c r="V106" s="16"/>
      <c r="W106" s="16"/>
      <c r="X106" s="16"/>
      <c r="Y106" s="16"/>
      <c r="Z106" s="16"/>
    </row>
    <row r="107" spans="1:26">
      <c r="A107" s="16" t="s">
        <v>166</v>
      </c>
      <c r="B107" s="16" t="s">
        <v>167</v>
      </c>
      <c r="C107" s="16" t="s">
        <v>214</v>
      </c>
      <c r="D107" s="273">
        <v>39</v>
      </c>
      <c r="E107" s="273">
        <v>3</v>
      </c>
      <c r="F107" s="273">
        <v>3</v>
      </c>
      <c r="G107" s="273">
        <v>2</v>
      </c>
      <c r="H107" s="273">
        <v>2</v>
      </c>
      <c r="I107" s="273">
        <v>3</v>
      </c>
      <c r="J107" s="273">
        <v>3</v>
      </c>
      <c r="L107" s="273">
        <f>IF(E107&gt;計分版!$C$13,0,1)</f>
        <v>0</v>
      </c>
      <c r="M107" s="273">
        <f>IF(F107&gt;計分版!$D$13,0,1)</f>
        <v>0</v>
      </c>
      <c r="N107" s="273">
        <f>IF(G107&gt;計分版!$E$13,0,1)</f>
        <v>0</v>
      </c>
      <c r="O107" s="273">
        <f>IF(H107&gt;計分版!$F$13,0,1)</f>
        <v>0</v>
      </c>
      <c r="P107" s="273">
        <f>IF(I107&gt;LARGE(計分版!$G$13:$L$13,1),0,1)</f>
        <v>0</v>
      </c>
      <c r="Q107" s="273">
        <f>IF(J107&gt;LARGE(計分版!$G$13:$L$13,2),0,1)</f>
        <v>0</v>
      </c>
      <c r="R107" s="273"/>
      <c r="S107" s="273">
        <f t="shared" si="3"/>
        <v>0</v>
      </c>
      <c r="T107" s="16"/>
      <c r="U107" s="16"/>
      <c r="V107" s="16"/>
      <c r="W107" s="16"/>
      <c r="X107" s="16"/>
      <c r="Y107" s="16"/>
      <c r="Z107" s="16"/>
    </row>
    <row r="108" spans="1:26">
      <c r="A108" s="16" t="s">
        <v>204</v>
      </c>
      <c r="B108" s="16" t="s">
        <v>205</v>
      </c>
      <c r="C108" s="16" t="s">
        <v>214</v>
      </c>
      <c r="D108" s="273">
        <v>20</v>
      </c>
      <c r="E108" s="273">
        <v>3</v>
      </c>
      <c r="F108" s="273">
        <v>3</v>
      </c>
      <c r="G108" s="273">
        <v>2</v>
      </c>
      <c r="H108" s="273">
        <v>2</v>
      </c>
      <c r="I108" s="273">
        <v>3</v>
      </c>
      <c r="J108" s="273">
        <v>3</v>
      </c>
      <c r="L108" s="273">
        <f>IF(E108&gt;計分版!$C$13,0,1)</f>
        <v>0</v>
      </c>
      <c r="M108" s="273">
        <f>IF(F108&gt;計分版!$D$13,0,1)</f>
        <v>0</v>
      </c>
      <c r="N108" s="273">
        <f>IF(G108&gt;計分版!$E$13,0,1)</f>
        <v>0</v>
      </c>
      <c r="O108" s="273">
        <f>IF(H108&gt;計分版!$F$13,0,1)</f>
        <v>0</v>
      </c>
      <c r="P108" s="273">
        <f>IF(I108&gt;LARGE(計分版!$G$13:$L$13,1),0,1)</f>
        <v>0</v>
      </c>
      <c r="Q108" s="273">
        <f>IF(J108&gt;LARGE(計分版!$G$13:$L$13,2),0,1)</f>
        <v>0</v>
      </c>
      <c r="R108" s="273"/>
      <c r="S108" s="273">
        <f t="shared" si="3"/>
        <v>0</v>
      </c>
      <c r="T108" s="16"/>
      <c r="U108" s="16"/>
      <c r="V108" s="16"/>
      <c r="W108" s="16"/>
      <c r="X108" s="16"/>
      <c r="Y108" s="16"/>
      <c r="Z108" s="16"/>
    </row>
    <row r="109" spans="1:26">
      <c r="A109" s="16" t="s">
        <v>213</v>
      </c>
      <c r="B109" s="16" t="s">
        <v>207</v>
      </c>
      <c r="C109" s="16" t="s">
        <v>214</v>
      </c>
      <c r="D109" s="273">
        <v>20</v>
      </c>
      <c r="E109" s="273">
        <v>3</v>
      </c>
      <c r="F109" s="273">
        <v>3</v>
      </c>
      <c r="G109" s="273">
        <v>3</v>
      </c>
      <c r="H109" s="273">
        <v>2</v>
      </c>
      <c r="I109" s="273">
        <v>3</v>
      </c>
      <c r="J109" s="273">
        <v>3</v>
      </c>
      <c r="L109" s="273">
        <f>IF(E109&gt;計分版!$C$13,0,1)</f>
        <v>0</v>
      </c>
      <c r="M109" s="273">
        <f>IF(F109&gt;計分版!$D$13,0,1)</f>
        <v>0</v>
      </c>
      <c r="N109" s="273">
        <f>IF(G109&gt;計分版!$E$13,0,1)</f>
        <v>0</v>
      </c>
      <c r="O109" s="273">
        <f>IF(H109&gt;計分版!$F$13,0,1)</f>
        <v>0</v>
      </c>
      <c r="P109" s="273">
        <f>IF(I109&gt;LARGE(計分版!$G$13:$L$13,1),0,1)</f>
        <v>0</v>
      </c>
      <c r="Q109" s="273">
        <f>IF(J109&gt;LARGE(計分版!$G$13:$L$13,2),0,1)</f>
        <v>0</v>
      </c>
      <c r="R109" s="273"/>
      <c r="S109" s="273">
        <f t="shared" si="3"/>
        <v>0</v>
      </c>
      <c r="T109" s="16"/>
      <c r="U109" s="16"/>
      <c r="V109" s="16"/>
      <c r="W109" s="16"/>
      <c r="X109" s="16"/>
      <c r="Y109" s="16"/>
      <c r="Z109" s="16"/>
    </row>
    <row r="110" spans="1:26">
      <c r="A110" s="16" t="s">
        <v>168</v>
      </c>
      <c r="B110" s="16" t="s">
        <v>169</v>
      </c>
      <c r="C110" s="16" t="s">
        <v>215</v>
      </c>
      <c r="D110" s="273">
        <v>76</v>
      </c>
      <c r="E110" s="273">
        <v>4</v>
      </c>
      <c r="F110" s="273">
        <v>5</v>
      </c>
      <c r="G110" s="273">
        <v>3</v>
      </c>
      <c r="H110" s="273">
        <v>3</v>
      </c>
      <c r="I110" s="273">
        <v>3</v>
      </c>
      <c r="J110" s="273">
        <v>3</v>
      </c>
      <c r="L110" s="273">
        <f>IF(E110&gt;計分版!$C$13,0,1)</f>
        <v>0</v>
      </c>
      <c r="M110" s="273">
        <f>IF(F110&gt;計分版!$D$13,0,1)</f>
        <v>0</v>
      </c>
      <c r="N110" s="273">
        <f>IF(G110&gt;計分版!$E$13,0,1)</f>
        <v>0</v>
      </c>
      <c r="O110" s="273">
        <f>IF(H110&gt;計分版!$F$13,0,1)</f>
        <v>0</v>
      </c>
      <c r="P110" s="273">
        <f>IF(I110&gt;LARGE(計分版!$G$13:$L$13,1),0,1)</f>
        <v>0</v>
      </c>
      <c r="Q110" s="273">
        <f>IF(J110&gt;LARGE(計分版!$G$13:$L$13,2),0,1)</f>
        <v>0</v>
      </c>
      <c r="R110" s="273"/>
      <c r="S110" s="273">
        <f t="shared" si="3"/>
        <v>0</v>
      </c>
      <c r="T110" s="16"/>
      <c r="U110" s="16"/>
      <c r="V110" s="16"/>
      <c r="W110" s="16"/>
      <c r="X110" s="16"/>
      <c r="Y110" s="16"/>
      <c r="Z110" s="16"/>
    </row>
    <row r="112" spans="1:26">
      <c r="A112" s="42" t="s">
        <v>687</v>
      </c>
      <c r="B112" s="42" t="s">
        <v>400</v>
      </c>
      <c r="C112" s="42" t="s">
        <v>229</v>
      </c>
      <c r="D112" s="56" t="s">
        <v>394</v>
      </c>
      <c r="E112" s="56" t="s">
        <v>405</v>
      </c>
      <c r="F112" s="56" t="s">
        <v>406</v>
      </c>
      <c r="G112" s="56" t="s">
        <v>407</v>
      </c>
      <c r="H112" s="56" t="s">
        <v>408</v>
      </c>
      <c r="I112" s="56" t="s">
        <v>409</v>
      </c>
      <c r="J112" s="56" t="s">
        <v>410</v>
      </c>
      <c r="K112" s="42"/>
      <c r="L112" s="56" t="s">
        <v>405</v>
      </c>
      <c r="M112" s="56" t="s">
        <v>406</v>
      </c>
      <c r="N112" s="56" t="s">
        <v>407</v>
      </c>
      <c r="O112" s="56" t="s">
        <v>408</v>
      </c>
      <c r="P112" s="56" t="s">
        <v>409</v>
      </c>
      <c r="Q112" s="56" t="s">
        <v>410</v>
      </c>
      <c r="R112" s="273"/>
    </row>
    <row r="113" spans="1:19">
      <c r="A113" s="16" t="s">
        <v>619</v>
      </c>
      <c r="B113" s="16" t="s">
        <v>621</v>
      </c>
      <c r="C113" s="38" t="s">
        <v>688</v>
      </c>
      <c r="D113" s="273">
        <v>21</v>
      </c>
      <c r="E113" s="48">
        <v>3</v>
      </c>
      <c r="F113" s="48">
        <v>3</v>
      </c>
      <c r="G113" s="48">
        <v>2</v>
      </c>
      <c r="H113" s="48">
        <v>2</v>
      </c>
      <c r="I113" s="48">
        <v>3</v>
      </c>
      <c r="J113" s="48">
        <v>3</v>
      </c>
      <c r="L113" s="273">
        <f>IF(E113&gt;計分版!$C$13,0,1)</f>
        <v>0</v>
      </c>
      <c r="M113" s="273">
        <f>IF(F113&gt;計分版!$D$13,0,1)</f>
        <v>0</v>
      </c>
      <c r="N113" s="273">
        <f>IF(G113&gt;計分版!$E$13,0,1)</f>
        <v>0</v>
      </c>
      <c r="O113" s="273">
        <f>IF(H113&gt;計分版!$F$13,0,1)</f>
        <v>0</v>
      </c>
      <c r="P113" s="273">
        <f>IF(計分版!$U$189=0,0,IF(I113&gt;LARGE(計分版!$G$13:$L$13,1),0,1))</f>
        <v>0</v>
      </c>
      <c r="Q113" s="273">
        <f>IF(計分版!$U$189=0,0,IF(J113&gt;LARGE(計分版!$G$13:$L$13,1),0,1))</f>
        <v>0</v>
      </c>
      <c r="S113" s="273">
        <f t="shared" ref="S113:S135" si="4">L113*M113*N113*O113*P113*Q113</f>
        <v>0</v>
      </c>
    </row>
    <row r="114" spans="1:19">
      <c r="A114" s="16" t="s">
        <v>622</v>
      </c>
      <c r="B114" s="16" t="s">
        <v>624</v>
      </c>
      <c r="C114" s="38" t="s">
        <v>689</v>
      </c>
      <c r="D114" s="273">
        <v>464</v>
      </c>
      <c r="E114" s="48">
        <v>3</v>
      </c>
      <c r="F114" s="48">
        <v>3</v>
      </c>
      <c r="G114" s="48">
        <v>2</v>
      </c>
      <c r="H114" s="48">
        <v>2</v>
      </c>
      <c r="I114" s="48">
        <v>3</v>
      </c>
      <c r="J114" s="48">
        <v>3</v>
      </c>
      <c r="L114" s="273">
        <f>IF(E114&gt;計分版!$C$13,0,1)</f>
        <v>0</v>
      </c>
      <c r="M114" s="273">
        <f>IF(F114&gt;計分版!$D$13,0,1)</f>
        <v>0</v>
      </c>
      <c r="N114" s="273">
        <f>IF(G114&gt;計分版!$E$13,0,1)</f>
        <v>0</v>
      </c>
      <c r="O114" s="273">
        <f>IF(H114&gt;計分版!$F$13,0,1)</f>
        <v>0</v>
      </c>
      <c r="P114" s="273">
        <f>IF(計分版!$R$190=0,0,IF(I114&gt;LARGE(計分版!$G$13:$L$13,1),0,1))</f>
        <v>0</v>
      </c>
      <c r="Q114" s="273">
        <f>IF(J114&gt;LARGE(計分版!$G$13:$L$13,2),0,1)</f>
        <v>0</v>
      </c>
      <c r="S114" s="273">
        <f t="shared" si="4"/>
        <v>0</v>
      </c>
    </row>
    <row r="115" spans="1:19">
      <c r="A115" s="16" t="s">
        <v>625</v>
      </c>
      <c r="B115" s="16" t="s">
        <v>627</v>
      </c>
      <c r="C115" s="38" t="s">
        <v>689</v>
      </c>
      <c r="D115" s="273">
        <v>464</v>
      </c>
      <c r="E115" s="48">
        <v>3</v>
      </c>
      <c r="F115" s="48">
        <v>3</v>
      </c>
      <c r="G115" s="48">
        <v>2</v>
      </c>
      <c r="H115" s="48">
        <v>2</v>
      </c>
      <c r="I115" s="48">
        <v>3</v>
      </c>
      <c r="J115" s="48">
        <v>3</v>
      </c>
      <c r="L115" s="273">
        <f>IF(E115&gt;計分版!$C$13,0,1)</f>
        <v>0</v>
      </c>
      <c r="M115" s="273">
        <f>IF(F115&gt;計分版!$D$13,0,1)</f>
        <v>0</v>
      </c>
      <c r="N115" s="273">
        <f>IF(G115&gt;計分版!$E$13,0,1)</f>
        <v>0</v>
      </c>
      <c r="O115" s="273">
        <f>IF(H115&gt;計分版!$F$13,0,1)</f>
        <v>0</v>
      </c>
      <c r="P115" s="273">
        <f>IF(計分版!$R$190=0,0,IF(I115&gt;LARGE(計分版!$G$13:$L$13,1),0,1))</f>
        <v>0</v>
      </c>
      <c r="Q115" s="273">
        <f>IF(J115&gt;LARGE(計分版!$G$13:$L$13,2),0,1)</f>
        <v>0</v>
      </c>
      <c r="S115" s="273">
        <f t="shared" si="4"/>
        <v>0</v>
      </c>
    </row>
    <row r="116" spans="1:19">
      <c r="A116" s="16" t="s">
        <v>628</v>
      </c>
      <c r="B116" s="16" t="s">
        <v>629</v>
      </c>
      <c r="C116" s="38" t="s">
        <v>689</v>
      </c>
      <c r="D116" s="273">
        <v>674</v>
      </c>
      <c r="E116" s="48">
        <v>3</v>
      </c>
      <c r="F116" s="48">
        <v>3</v>
      </c>
      <c r="G116" s="48">
        <v>2</v>
      </c>
      <c r="H116" s="48">
        <v>2</v>
      </c>
      <c r="I116" s="48">
        <v>3</v>
      </c>
      <c r="J116" s="48">
        <v>3</v>
      </c>
      <c r="L116" s="273">
        <f>IF(E116&gt;計分版!$C$13,0,1)</f>
        <v>0</v>
      </c>
      <c r="M116" s="273">
        <f>IF(F116&gt;計分版!$D$13,0,1)</f>
        <v>0</v>
      </c>
      <c r="N116" s="273">
        <f>IF(G116&gt;計分版!$E$13,0,1)</f>
        <v>0</v>
      </c>
      <c r="O116" s="273">
        <f>IF(H116&gt;計分版!$F$13,0,1)</f>
        <v>0</v>
      </c>
      <c r="P116" s="273">
        <f>IF(AND(計分版!$V$189=0,計分版!$R$190=0),0,IF(I116&gt;LARGE(計分版!$G$13:$L$13,1),0,1))</f>
        <v>0</v>
      </c>
      <c r="Q116" s="273">
        <f>IF(J116&gt;LARGE(計分版!$G$13:$L$13,2),0,1)</f>
        <v>0</v>
      </c>
      <c r="S116" s="273">
        <f t="shared" si="4"/>
        <v>0</v>
      </c>
    </row>
    <row r="117" spans="1:19">
      <c r="A117" s="16" t="s">
        <v>630</v>
      </c>
      <c r="B117" s="16" t="s">
        <v>632</v>
      </c>
      <c r="C117" s="38" t="s">
        <v>689</v>
      </c>
      <c r="D117" s="273">
        <v>25</v>
      </c>
      <c r="E117" s="48">
        <v>3</v>
      </c>
      <c r="F117" s="48">
        <v>3</v>
      </c>
      <c r="G117" s="48">
        <v>2</v>
      </c>
      <c r="H117" s="48">
        <v>2</v>
      </c>
      <c r="I117" s="48">
        <v>3</v>
      </c>
      <c r="J117" s="48">
        <v>3</v>
      </c>
      <c r="L117" s="273">
        <f>IF(E117&gt;計分版!$C$13,0,1)</f>
        <v>0</v>
      </c>
      <c r="M117" s="273">
        <f>IF(F117&gt;計分版!$D$13,0,1)</f>
        <v>0</v>
      </c>
      <c r="N117" s="273">
        <f>IF(G117&gt;計分版!$E$13,0,1)</f>
        <v>0</v>
      </c>
      <c r="O117" s="273">
        <f>IF(H117&gt;計分版!$F$13,0,1)</f>
        <v>0</v>
      </c>
      <c r="P117" s="273">
        <f>IF(AND(計分版!$V$189=0,計分版!$R$190=0),0,IF(I117&gt;LARGE(計分版!$G$13:$L$13,1),0,1))</f>
        <v>0</v>
      </c>
      <c r="Q117" s="273">
        <f>IF(J117&gt;LARGE(計分版!$G$13:$L$13,2),0,1)</f>
        <v>0</v>
      </c>
      <c r="S117" s="273">
        <f t="shared" si="4"/>
        <v>0</v>
      </c>
    </row>
    <row r="118" spans="1:19">
      <c r="A118" s="16" t="s">
        <v>633</v>
      </c>
      <c r="B118" s="16" t="s">
        <v>635</v>
      </c>
      <c r="C118" s="38" t="s">
        <v>690</v>
      </c>
      <c r="D118" s="273">
        <v>385</v>
      </c>
      <c r="E118" s="48">
        <v>3</v>
      </c>
      <c r="F118" s="48">
        <v>4</v>
      </c>
      <c r="G118" s="48">
        <v>3</v>
      </c>
      <c r="H118" s="48">
        <v>2</v>
      </c>
      <c r="I118" s="48">
        <v>3</v>
      </c>
      <c r="J118" s="48">
        <v>3</v>
      </c>
      <c r="L118" s="273">
        <f>IF(E118&gt;計分版!$C$13,0,1)</f>
        <v>0</v>
      </c>
      <c r="M118" s="273">
        <f>IF(F118&gt;計分版!$D$13,0,1)</f>
        <v>0</v>
      </c>
      <c r="N118" s="273">
        <f>IF(G118&gt;計分版!$E$13,0,1)</f>
        <v>0</v>
      </c>
      <c r="O118" s="273">
        <f>IF(H118&gt;計分版!$F$13,0,1)</f>
        <v>0</v>
      </c>
      <c r="P118" s="273">
        <f>IF(I118&gt;LARGE(計分版!$G$13:$L$13,1),0,1)</f>
        <v>0</v>
      </c>
      <c r="Q118" s="273">
        <f>IF(J118&gt;LARGE(計分版!$G$13:$L$13,2),0,1)</f>
        <v>0</v>
      </c>
      <c r="S118" s="273">
        <f t="shared" si="4"/>
        <v>0</v>
      </c>
    </row>
    <row r="119" spans="1:19">
      <c r="A119" s="16" t="s">
        <v>636</v>
      </c>
      <c r="B119" s="16" t="s">
        <v>638</v>
      </c>
      <c r="C119" s="38" t="s">
        <v>690</v>
      </c>
      <c r="D119" s="273">
        <v>25</v>
      </c>
      <c r="E119" s="48">
        <v>3</v>
      </c>
      <c r="F119" s="48">
        <v>4</v>
      </c>
      <c r="G119" s="48">
        <v>3</v>
      </c>
      <c r="H119" s="48">
        <v>2</v>
      </c>
      <c r="I119" s="48">
        <v>3</v>
      </c>
      <c r="J119" s="48">
        <v>3</v>
      </c>
      <c r="L119" s="273">
        <f>IF(E119&gt;計分版!$C$13,0,1)</f>
        <v>0</v>
      </c>
      <c r="M119" s="273">
        <f>IF(F119&gt;計分版!$D$13,0,1)</f>
        <v>0</v>
      </c>
      <c r="N119" s="273">
        <f>IF(G119&gt;計分版!$E$13,0,1)</f>
        <v>0</v>
      </c>
      <c r="O119" s="273">
        <f>IF(H119&gt;計分版!$F$13,0,1)</f>
        <v>0</v>
      </c>
      <c r="P119" s="273">
        <f>IF(I119&gt;LARGE(計分版!$G$13:$L$13,1),0,1)</f>
        <v>0</v>
      </c>
      <c r="Q119" s="273">
        <f>IF(J119&gt;LARGE(計分版!$G$13:$L$13,2),0,1)</f>
        <v>0</v>
      </c>
      <c r="S119" s="273">
        <f t="shared" si="4"/>
        <v>0</v>
      </c>
    </row>
    <row r="120" spans="1:19">
      <c r="A120" s="16" t="s">
        <v>639</v>
      </c>
      <c r="B120" s="16" t="s">
        <v>641</v>
      </c>
      <c r="C120" s="38" t="s">
        <v>872</v>
      </c>
      <c r="D120" s="273">
        <v>30</v>
      </c>
      <c r="E120" s="48">
        <v>3</v>
      </c>
      <c r="F120" s="48">
        <v>4</v>
      </c>
      <c r="G120" s="48">
        <v>3</v>
      </c>
      <c r="H120" s="48">
        <v>2</v>
      </c>
      <c r="I120" s="48">
        <v>3</v>
      </c>
      <c r="J120" s="48">
        <v>3</v>
      </c>
      <c r="L120" s="273">
        <f>IF(E120&gt;計分版!$C$13,0,1)</f>
        <v>0</v>
      </c>
      <c r="M120" s="273">
        <f>IF(F120&gt;計分版!$D$13,0,1)</f>
        <v>0</v>
      </c>
      <c r="N120" s="273">
        <f>IF(G120&gt;計分版!$E$13,0,1)</f>
        <v>0</v>
      </c>
      <c r="O120" s="273">
        <f>IF(H120&gt;計分版!$F$13,0,1)</f>
        <v>0</v>
      </c>
      <c r="P120" s="273">
        <f>IF(I120&gt;LARGE(計分版!$G$13:$L$13,1),0,1)</f>
        <v>0</v>
      </c>
      <c r="Q120" s="273">
        <f>IF(J120&gt;LARGE(計分版!$G$13:$L$13,2),0,1)</f>
        <v>0</v>
      </c>
      <c r="S120" s="273">
        <f t="shared" si="4"/>
        <v>0</v>
      </c>
    </row>
    <row r="121" spans="1:19">
      <c r="A121" s="16" t="s">
        <v>642</v>
      </c>
      <c r="B121" s="16" t="s">
        <v>644</v>
      </c>
      <c r="C121" s="38" t="s">
        <v>690</v>
      </c>
      <c r="D121" s="273">
        <v>26</v>
      </c>
      <c r="E121" s="48">
        <v>3</v>
      </c>
      <c r="F121" s="48">
        <v>4</v>
      </c>
      <c r="G121" s="48">
        <v>3</v>
      </c>
      <c r="H121" s="48">
        <v>2</v>
      </c>
      <c r="I121" s="48">
        <v>3</v>
      </c>
      <c r="J121" s="48">
        <v>3</v>
      </c>
      <c r="L121" s="273">
        <f>IF(E121&gt;計分版!$C$13,0,1)</f>
        <v>0</v>
      </c>
      <c r="M121" s="273">
        <f>IF(F121&gt;計分版!$D$13,0,1)</f>
        <v>0</v>
      </c>
      <c r="N121" s="273">
        <f>IF(G121&gt;計分版!$E$13,0,1)</f>
        <v>0</v>
      </c>
      <c r="O121" s="273">
        <f>IF(H121&gt;計分版!$F$13,0,1)</f>
        <v>0</v>
      </c>
      <c r="P121" s="273">
        <f>IF(I121&gt;LARGE(計分版!$G$13:$L$13,1),0,1)</f>
        <v>0</v>
      </c>
      <c r="Q121" s="273">
        <f>IF(J121&gt;LARGE(計分版!$G$13:$L$13,2),0,1)</f>
        <v>0</v>
      </c>
      <c r="S121" s="273">
        <f t="shared" si="4"/>
        <v>0</v>
      </c>
    </row>
    <row r="122" spans="1:19">
      <c r="A122" s="16" t="s">
        <v>645</v>
      </c>
      <c r="B122" s="16" t="s">
        <v>647</v>
      </c>
      <c r="C122" s="38" t="s">
        <v>690</v>
      </c>
      <c r="D122" s="273">
        <v>25</v>
      </c>
      <c r="E122" s="48">
        <v>3</v>
      </c>
      <c r="F122" s="48">
        <v>4</v>
      </c>
      <c r="G122" s="48">
        <v>3</v>
      </c>
      <c r="H122" s="48">
        <v>2</v>
      </c>
      <c r="I122" s="48">
        <v>3</v>
      </c>
      <c r="J122" s="48">
        <v>3</v>
      </c>
      <c r="L122" s="273">
        <f>IF(E122&gt;計分版!$C$13,0,1)</f>
        <v>0</v>
      </c>
      <c r="M122" s="273">
        <f>IF(F122&gt;計分版!$D$13,0,1)</f>
        <v>0</v>
      </c>
      <c r="N122" s="273">
        <f>IF(G122&gt;計分版!$E$13,0,1)</f>
        <v>0</v>
      </c>
      <c r="O122" s="273">
        <f>IF(H122&gt;計分版!$F$13,0,1)</f>
        <v>0</v>
      </c>
      <c r="P122" s="273">
        <f>IF(I122&gt;LARGE(計分版!$G$13:$L$13,1),0,1)</f>
        <v>0</v>
      </c>
      <c r="Q122" s="273">
        <f>IF(J122&gt;LARGE(計分版!$G$13:$L$13,2),0,1)</f>
        <v>0</v>
      </c>
      <c r="S122" s="273">
        <f t="shared" si="4"/>
        <v>0</v>
      </c>
    </row>
    <row r="123" spans="1:19">
      <c r="A123" s="16" t="s">
        <v>648</v>
      </c>
      <c r="B123" s="16" t="s">
        <v>650</v>
      </c>
      <c r="C123" s="38" t="s">
        <v>690</v>
      </c>
      <c r="D123" s="273">
        <v>25</v>
      </c>
      <c r="E123" s="48">
        <v>3</v>
      </c>
      <c r="F123" s="48">
        <v>4</v>
      </c>
      <c r="G123" s="48">
        <v>3</v>
      </c>
      <c r="H123" s="48">
        <v>2</v>
      </c>
      <c r="I123" s="48">
        <v>3</v>
      </c>
      <c r="J123" s="48">
        <v>3</v>
      </c>
      <c r="L123" s="273">
        <f>IF(E123&gt;計分版!$C$13,0,1)</f>
        <v>0</v>
      </c>
      <c r="M123" s="273">
        <f>IF(F123&gt;計分版!$D$13,0,1)</f>
        <v>0</v>
      </c>
      <c r="N123" s="273">
        <f>IF(G123&gt;計分版!$E$13,0,1)</f>
        <v>0</v>
      </c>
      <c r="O123" s="273">
        <f>IF(H123&gt;計分版!$F$13,0,1)</f>
        <v>0</v>
      </c>
      <c r="P123" s="273">
        <f>IF(I123&gt;LARGE(計分版!$G$13:$L$13,1),0,1)</f>
        <v>0</v>
      </c>
      <c r="Q123" s="273">
        <f>IF(J123&gt;LARGE(計分版!$G$13:$L$13,2),0,1)</f>
        <v>0</v>
      </c>
      <c r="S123" s="273">
        <f t="shared" si="4"/>
        <v>0</v>
      </c>
    </row>
    <row r="124" spans="1:19">
      <c r="A124" s="16" t="s">
        <v>651</v>
      </c>
      <c r="B124" s="16" t="s">
        <v>653</v>
      </c>
      <c r="C124" s="38" t="s">
        <v>690</v>
      </c>
      <c r="D124" s="273">
        <v>25</v>
      </c>
      <c r="E124" s="48">
        <v>3</v>
      </c>
      <c r="F124" s="48">
        <v>4</v>
      </c>
      <c r="G124" s="48">
        <v>3</v>
      </c>
      <c r="H124" s="48">
        <v>2</v>
      </c>
      <c r="I124" s="48">
        <v>3</v>
      </c>
      <c r="J124" s="48">
        <v>3</v>
      </c>
      <c r="L124" s="273">
        <f>IF(E124&gt;計分版!$C$13,0,1)</f>
        <v>0</v>
      </c>
      <c r="M124" s="273">
        <f>IF(F124&gt;計分版!$D$13,0,1)</f>
        <v>0</v>
      </c>
      <c r="N124" s="273">
        <f>IF(G124&gt;計分版!$E$13,0,1)</f>
        <v>0</v>
      </c>
      <c r="O124" s="273">
        <f>IF(H124&gt;計分版!$F$13,0,1)</f>
        <v>0</v>
      </c>
      <c r="P124" s="273">
        <f>IF(I124&gt;LARGE(計分版!$G$13:$L$13,1),0,1)</f>
        <v>0</v>
      </c>
      <c r="Q124" s="273">
        <f>IF(J124&gt;LARGE(計分版!$G$13:$L$13,2),0,1)</f>
        <v>0</v>
      </c>
      <c r="S124" s="273">
        <f t="shared" si="4"/>
        <v>0</v>
      </c>
    </row>
    <row r="125" spans="1:19">
      <c r="A125" s="16" t="s">
        <v>654</v>
      </c>
      <c r="B125" s="16" t="s">
        <v>656</v>
      </c>
      <c r="C125" s="38" t="s">
        <v>690</v>
      </c>
      <c r="D125" s="273">
        <v>25</v>
      </c>
      <c r="E125" s="48">
        <v>3</v>
      </c>
      <c r="F125" s="48">
        <v>4</v>
      </c>
      <c r="G125" s="48">
        <v>3</v>
      </c>
      <c r="H125" s="48">
        <v>2</v>
      </c>
      <c r="I125" s="48">
        <v>3</v>
      </c>
      <c r="J125" s="48">
        <v>3</v>
      </c>
      <c r="L125" s="273">
        <f>IF(E125&gt;計分版!$C$13,0,1)</f>
        <v>0</v>
      </c>
      <c r="M125" s="273">
        <f>IF(F125&gt;計分版!$D$13,0,1)</f>
        <v>0</v>
      </c>
      <c r="N125" s="273">
        <f>IF(G125&gt;計分版!$E$13,0,1)</f>
        <v>0</v>
      </c>
      <c r="O125" s="273">
        <f>IF(H125&gt;計分版!$F$13,0,1)</f>
        <v>0</v>
      </c>
      <c r="P125" s="273">
        <f>IF(I125&gt;LARGE(計分版!$G$13:$L$13,1),0,1)</f>
        <v>0</v>
      </c>
      <c r="Q125" s="273">
        <f>IF(J125&gt;LARGE(計分版!$G$13:$L$13,2),0,1)</f>
        <v>0</v>
      </c>
      <c r="S125" s="273">
        <f t="shared" si="4"/>
        <v>0</v>
      </c>
    </row>
    <row r="126" spans="1:19">
      <c r="A126" s="16" t="s">
        <v>657</v>
      </c>
      <c r="B126" s="16" t="s">
        <v>659</v>
      </c>
      <c r="C126" s="38" t="s">
        <v>690</v>
      </c>
      <c r="D126" s="273">
        <v>60</v>
      </c>
      <c r="E126" s="48">
        <v>3</v>
      </c>
      <c r="F126" s="48">
        <v>4</v>
      </c>
      <c r="G126" s="48">
        <v>3</v>
      </c>
      <c r="H126" s="48">
        <v>2</v>
      </c>
      <c r="I126" s="48">
        <v>3</v>
      </c>
      <c r="J126" s="48">
        <v>3</v>
      </c>
      <c r="L126" s="273">
        <f>IF(E126&gt;計分版!$C$13,0,1)</f>
        <v>0</v>
      </c>
      <c r="M126" s="273">
        <f>IF(F126&gt;計分版!$D$13,0,1)</f>
        <v>0</v>
      </c>
      <c r="N126" s="273">
        <f>IF(G126&gt;計分版!$E$13,0,1)</f>
        <v>0</v>
      </c>
      <c r="O126" s="273">
        <f>IF(H126&gt;計分版!$F$13,0,1)</f>
        <v>0</v>
      </c>
      <c r="P126" s="273">
        <f>IF(I126&gt;LARGE(計分版!$G$13:$L$13,1),0,1)</f>
        <v>0</v>
      </c>
      <c r="Q126" s="273">
        <f>IF(J126&gt;LARGE(計分版!$G$13:$L$13,2),0,1)</f>
        <v>0</v>
      </c>
      <c r="S126" s="273">
        <f t="shared" si="4"/>
        <v>0</v>
      </c>
    </row>
    <row r="127" spans="1:19">
      <c r="A127" s="16" t="s">
        <v>660</v>
      </c>
      <c r="B127" s="16" t="s">
        <v>662</v>
      </c>
      <c r="C127" s="38" t="s">
        <v>872</v>
      </c>
      <c r="D127" s="273">
        <v>26</v>
      </c>
      <c r="E127" s="48">
        <v>3</v>
      </c>
      <c r="F127" s="48">
        <v>4</v>
      </c>
      <c r="G127" s="48">
        <v>3</v>
      </c>
      <c r="H127" s="48">
        <v>2</v>
      </c>
      <c r="I127" s="48">
        <v>3</v>
      </c>
      <c r="J127" s="48">
        <v>3</v>
      </c>
      <c r="L127" s="273">
        <f>IF(E127&gt;計分版!$C$13,0,1)</f>
        <v>0</v>
      </c>
      <c r="M127" s="273">
        <f>IF(F127&gt;計分版!$D$13,0,1)</f>
        <v>0</v>
      </c>
      <c r="N127" s="273">
        <f>IF(G127&gt;計分版!$E$13,0,1)</f>
        <v>0</v>
      </c>
      <c r="O127" s="273">
        <f>IF(H127&gt;計分版!$F$13,0,1)</f>
        <v>0</v>
      </c>
      <c r="P127" s="273">
        <f>IF(I127&gt;LARGE(計分版!$G$13:$L$13,1),0,1)</f>
        <v>0</v>
      </c>
      <c r="Q127" s="273">
        <f>IF(J127&gt;LARGE(計分版!$G$13:$L$13,2),0,1)</f>
        <v>0</v>
      </c>
      <c r="S127" s="273">
        <f t="shared" si="4"/>
        <v>0</v>
      </c>
    </row>
    <row r="128" spans="1:19">
      <c r="A128" s="16" t="s">
        <v>663</v>
      </c>
      <c r="B128" s="16" t="s">
        <v>665</v>
      </c>
      <c r="C128" s="38" t="s">
        <v>872</v>
      </c>
      <c r="D128" s="273">
        <v>20</v>
      </c>
      <c r="E128" s="48">
        <v>3</v>
      </c>
      <c r="F128" s="48">
        <v>4</v>
      </c>
      <c r="G128" s="48">
        <v>3</v>
      </c>
      <c r="H128" s="48">
        <v>2</v>
      </c>
      <c r="I128" s="48">
        <v>3</v>
      </c>
      <c r="J128" s="48">
        <v>3</v>
      </c>
      <c r="L128" s="273">
        <f>IF(E128&gt;計分版!$C$13,0,1)</f>
        <v>0</v>
      </c>
      <c r="M128" s="273">
        <f>IF(F128&gt;計分版!$D$13,0,1)</f>
        <v>0</v>
      </c>
      <c r="N128" s="273">
        <f>IF(G128&gt;計分版!$E$13,0,1)</f>
        <v>0</v>
      </c>
      <c r="O128" s="273">
        <f>IF(H128&gt;計分版!$F$13,0,1)</f>
        <v>0</v>
      </c>
      <c r="P128" s="273">
        <f>IF(I128&gt;LARGE(計分版!$G$13:$L$13,1),0,1)</f>
        <v>0</v>
      </c>
      <c r="Q128" s="273">
        <f>IF(J128&gt;LARGE(計分版!$G$13:$L$13,2),0,1)</f>
        <v>0</v>
      </c>
      <c r="S128" s="273">
        <f t="shared" si="4"/>
        <v>0</v>
      </c>
    </row>
    <row r="129" spans="1:26">
      <c r="A129" s="16" t="s">
        <v>666</v>
      </c>
      <c r="B129" s="16" t="s">
        <v>668</v>
      </c>
      <c r="C129" s="38" t="s">
        <v>691</v>
      </c>
      <c r="D129" s="273">
        <v>50</v>
      </c>
      <c r="E129" s="48">
        <v>3</v>
      </c>
      <c r="F129" s="48">
        <v>3</v>
      </c>
      <c r="G129" s="48">
        <v>2</v>
      </c>
      <c r="H129" s="48">
        <v>2</v>
      </c>
      <c r="I129" s="48">
        <v>3</v>
      </c>
      <c r="J129" s="48">
        <v>3</v>
      </c>
      <c r="L129" s="273">
        <f>IF(E129&gt;計分版!$C$13,0,1)</f>
        <v>0</v>
      </c>
      <c r="M129" s="273">
        <f>IF(F129&gt;計分版!$D$13,0,1)</f>
        <v>0</v>
      </c>
      <c r="N129" s="273">
        <f>IF(G129&gt;計分版!$E$13,0,1)</f>
        <v>0</v>
      </c>
      <c r="O129" s="273">
        <f>IF(H129&gt;計分版!$F$13,0,1)</f>
        <v>0</v>
      </c>
      <c r="P129" s="273">
        <f>IF(I129&gt;LARGE(計分版!$G$13:$L$13,1),0,1)</f>
        <v>0</v>
      </c>
      <c r="Q129" s="273">
        <f>IF(J129&gt;LARGE(計分版!$G$13:$L$13,2),0,1)</f>
        <v>0</v>
      </c>
      <c r="S129" s="273">
        <f t="shared" si="4"/>
        <v>0</v>
      </c>
    </row>
    <row r="130" spans="1:26">
      <c r="A130" s="16" t="s">
        <v>669</v>
      </c>
      <c r="B130" s="16" t="s">
        <v>671</v>
      </c>
      <c r="C130" s="38" t="s">
        <v>690</v>
      </c>
      <c r="D130" s="273">
        <v>28</v>
      </c>
      <c r="E130" s="48">
        <v>3</v>
      </c>
      <c r="F130" s="48">
        <v>3</v>
      </c>
      <c r="G130" s="48">
        <v>3</v>
      </c>
      <c r="H130" s="48">
        <v>2</v>
      </c>
      <c r="I130" s="48">
        <v>3</v>
      </c>
      <c r="J130" s="48">
        <v>3</v>
      </c>
      <c r="L130" s="273">
        <f>IF(E130&gt;計分版!$C$13,0,1)</f>
        <v>0</v>
      </c>
      <c r="M130" s="273">
        <f>IF(F130&gt;計分版!$D$13,0,1)</f>
        <v>0</v>
      </c>
      <c r="N130" s="273">
        <f>IF(G130&gt;計分版!$E$13,0,1)</f>
        <v>0</v>
      </c>
      <c r="O130" s="273">
        <f>IF(H130&gt;計分版!$F$13,0,1)</f>
        <v>0</v>
      </c>
      <c r="P130" s="273">
        <f>IF(I130&gt;LARGE(計分版!$G$13:$L$13,1),0,1)</f>
        <v>0</v>
      </c>
      <c r="Q130" s="273">
        <f>IF(J130&gt;LARGE(計分版!$G$13:$L$13,2),0,1)</f>
        <v>0</v>
      </c>
      <c r="S130" s="273">
        <f t="shared" si="4"/>
        <v>0</v>
      </c>
    </row>
    <row r="131" spans="1:26">
      <c r="A131" s="16" t="s">
        <v>672</v>
      </c>
      <c r="B131" s="16" t="s">
        <v>674</v>
      </c>
      <c r="C131" s="38" t="s">
        <v>690</v>
      </c>
      <c r="D131" s="273">
        <v>26</v>
      </c>
      <c r="E131" s="48">
        <v>3</v>
      </c>
      <c r="F131" s="48">
        <v>4</v>
      </c>
      <c r="G131" s="48">
        <v>3</v>
      </c>
      <c r="H131" s="48">
        <v>2</v>
      </c>
      <c r="I131" s="48">
        <v>3</v>
      </c>
      <c r="J131" s="48">
        <v>3</v>
      </c>
      <c r="L131" s="273">
        <f>IF(E131&gt;計分版!$C$13,0,1)</f>
        <v>0</v>
      </c>
      <c r="M131" s="273">
        <f>IF(F131&gt;計分版!$D$13,0,1)</f>
        <v>0</v>
      </c>
      <c r="N131" s="273">
        <f>IF(G131&gt;計分版!$E$13,0,1)</f>
        <v>0</v>
      </c>
      <c r="O131" s="273">
        <f>IF(H131&gt;計分版!$F$13,0,1)</f>
        <v>0</v>
      </c>
      <c r="P131" s="273">
        <f>IF(計分版!$R$199=0,0,IF(I131&gt;LARGE(計分版!$G$13:$L$13,1),0,1))</f>
        <v>0</v>
      </c>
      <c r="Q131" s="273">
        <f>IF(J131&gt;LARGE(計分版!$G$13:$L$13,2),0,1)</f>
        <v>0</v>
      </c>
      <c r="S131" s="273">
        <f t="shared" si="4"/>
        <v>0</v>
      </c>
    </row>
    <row r="132" spans="1:26">
      <c r="A132" s="16" t="s">
        <v>675</v>
      </c>
      <c r="B132" s="16" t="s">
        <v>677</v>
      </c>
      <c r="C132" s="38" t="s">
        <v>690</v>
      </c>
      <c r="D132" s="273">
        <v>15</v>
      </c>
      <c r="E132" s="48">
        <v>3</v>
      </c>
      <c r="F132" s="48">
        <v>4</v>
      </c>
      <c r="G132" s="48">
        <v>3</v>
      </c>
      <c r="H132" s="48">
        <v>2</v>
      </c>
      <c r="I132" s="48">
        <v>3</v>
      </c>
      <c r="J132" s="48">
        <v>3</v>
      </c>
      <c r="L132" s="273">
        <f>IF(E132&gt;計分版!$C$13,0,1)</f>
        <v>0</v>
      </c>
      <c r="M132" s="273">
        <f>IF(F132&gt;計分版!$D$13,0,1)</f>
        <v>0</v>
      </c>
      <c r="N132" s="273">
        <f>IF(G132&gt;計分版!$E$13,0,1)</f>
        <v>0</v>
      </c>
      <c r="O132" s="273">
        <f>IF(H132&gt;計分版!$F$13,0,1)</f>
        <v>0</v>
      </c>
      <c r="P132" s="273">
        <f>IF(I132&gt;LARGE(計分版!$G$13:$L$13,1),0,1)</f>
        <v>0</v>
      </c>
      <c r="Q132" s="273">
        <f>IF(J132&gt;LARGE(計分版!$G$13:$L$13,2),0,1)</f>
        <v>0</v>
      </c>
      <c r="S132" s="273">
        <f t="shared" si="4"/>
        <v>0</v>
      </c>
    </row>
    <row r="133" spans="1:26">
      <c r="A133" s="16" t="s">
        <v>678</v>
      </c>
      <c r="B133" s="16" t="s">
        <v>680</v>
      </c>
      <c r="C133" s="38" t="s">
        <v>690</v>
      </c>
      <c r="D133" s="273">
        <v>15</v>
      </c>
      <c r="E133" s="48">
        <v>3</v>
      </c>
      <c r="F133" s="48">
        <v>4</v>
      </c>
      <c r="G133" s="48">
        <v>3</v>
      </c>
      <c r="H133" s="48">
        <v>2</v>
      </c>
      <c r="I133" s="48">
        <v>3</v>
      </c>
      <c r="J133" s="48">
        <v>3</v>
      </c>
      <c r="L133" s="273">
        <f>IF(E133&gt;計分版!$C$13,0,1)</f>
        <v>0</v>
      </c>
      <c r="M133" s="273">
        <f>IF(F133&gt;計分版!$D$13,0,1)</f>
        <v>0</v>
      </c>
      <c r="N133" s="273">
        <f>IF(G133&gt;計分版!$E$13,0,1)</f>
        <v>0</v>
      </c>
      <c r="O133" s="273">
        <f>IF(H133&gt;計分版!$F$13,0,1)</f>
        <v>0</v>
      </c>
      <c r="P133" s="273">
        <f>IF(AND(計分版!$Q$165&lt;1,計分版!$P$201=0),0,IF(I133&gt;LARGE(計分版!$G$13:$L$13,1),0,1))</f>
        <v>0</v>
      </c>
      <c r="Q133" s="273">
        <f>IF(J133&gt;LARGE(計分版!$G$13:$L$13,2),0,1)</f>
        <v>0</v>
      </c>
      <c r="S133" s="273">
        <f t="shared" si="4"/>
        <v>0</v>
      </c>
    </row>
    <row r="134" spans="1:26">
      <c r="A134" s="16" t="s">
        <v>681</v>
      </c>
      <c r="B134" s="16" t="s">
        <v>683</v>
      </c>
      <c r="C134" s="38" t="s">
        <v>690</v>
      </c>
      <c r="D134" s="273">
        <v>23</v>
      </c>
      <c r="E134" s="48">
        <v>3</v>
      </c>
      <c r="F134" s="48">
        <v>4</v>
      </c>
      <c r="G134" s="48">
        <v>3</v>
      </c>
      <c r="H134" s="48">
        <v>2</v>
      </c>
      <c r="I134" s="48">
        <v>3</v>
      </c>
      <c r="J134" s="48">
        <v>3</v>
      </c>
      <c r="L134" s="273">
        <f>IF(E134&gt;計分版!$C$13,0,1)</f>
        <v>0</v>
      </c>
      <c r="M134" s="273">
        <f>IF(F134&gt;計分版!$D$13,0,1)</f>
        <v>0</v>
      </c>
      <c r="N134" s="273">
        <f>IF(G134&gt;計分版!$E$13,0,1)</f>
        <v>0</v>
      </c>
      <c r="O134" s="273">
        <f>IF(H134&gt;計分版!$F$13,0,1)</f>
        <v>0</v>
      </c>
      <c r="P134" s="273">
        <f>IF(I134&gt;LARGE(計分版!$G$13:$L$13,1),0,1)</f>
        <v>0</v>
      </c>
      <c r="Q134" s="273">
        <f>IF(J134&gt;LARGE(計分版!$G$13:$L$13,2),0,1)</f>
        <v>0</v>
      </c>
      <c r="S134" s="273">
        <f t="shared" si="4"/>
        <v>0</v>
      </c>
    </row>
    <row r="135" spans="1:26">
      <c r="A135" s="16" t="s">
        <v>684</v>
      </c>
      <c r="B135" s="16" t="s">
        <v>686</v>
      </c>
      <c r="C135" s="38" t="s">
        <v>872</v>
      </c>
      <c r="D135" s="273">
        <v>21</v>
      </c>
      <c r="E135" s="48">
        <v>3</v>
      </c>
      <c r="F135" s="48">
        <v>4</v>
      </c>
      <c r="G135" s="48">
        <v>3</v>
      </c>
      <c r="H135" s="48">
        <v>2</v>
      </c>
      <c r="I135" s="48">
        <v>3</v>
      </c>
      <c r="J135" s="48">
        <v>3</v>
      </c>
      <c r="L135" s="273">
        <f>IF(E135&gt;計分版!$C$13,0,1)</f>
        <v>0</v>
      </c>
      <c r="M135" s="273">
        <f>IF(F135&gt;計分版!$D$13,0,1)</f>
        <v>0</v>
      </c>
      <c r="N135" s="273">
        <f>IF(G135&gt;計分版!$E$13,0,1)</f>
        <v>0</v>
      </c>
      <c r="O135" s="273">
        <f>IF(H135&gt;計分版!$F$13,0,1)</f>
        <v>0</v>
      </c>
      <c r="P135" s="273">
        <f>IF(AND(計分版!$V$189=0,計分版!$R$190=0),0,IF(I135&gt;LARGE(計分版!$G$13:$L$13,1),0,1))</f>
        <v>0</v>
      </c>
      <c r="Q135" s="273">
        <f>IF(J135&gt;LARGE(計分版!$G$13:$L$13,2),0,1)</f>
        <v>0</v>
      </c>
      <c r="S135" s="273">
        <f t="shared" si="4"/>
        <v>0</v>
      </c>
    </row>
    <row r="136" spans="1:26">
      <c r="E136" s="16"/>
      <c r="F136" s="16"/>
      <c r="G136" s="16"/>
      <c r="H136" s="16"/>
      <c r="I136" s="16"/>
      <c r="J136" s="16"/>
      <c r="M136" s="273"/>
      <c r="N136" s="273"/>
      <c r="O136" s="273"/>
      <c r="P136" s="273"/>
      <c r="Q136" s="273"/>
      <c r="R136" s="273"/>
      <c r="U136" s="16"/>
      <c r="V136" s="16"/>
      <c r="W136" s="16"/>
      <c r="X136" s="16"/>
      <c r="Y136" s="16"/>
      <c r="Z136" s="16"/>
    </row>
    <row r="138" spans="1:26">
      <c r="A138" s="42" t="s">
        <v>608</v>
      </c>
      <c r="B138" s="42" t="s">
        <v>400</v>
      </c>
      <c r="C138" s="42" t="s">
        <v>229</v>
      </c>
      <c r="D138" s="56" t="s">
        <v>394</v>
      </c>
      <c r="E138" s="56" t="s">
        <v>405</v>
      </c>
      <c r="F138" s="56" t="s">
        <v>406</v>
      </c>
      <c r="G138" s="56" t="s">
        <v>407</v>
      </c>
      <c r="H138" s="56" t="s">
        <v>408</v>
      </c>
      <c r="I138" s="56" t="s">
        <v>409</v>
      </c>
      <c r="J138" s="56" t="s">
        <v>410</v>
      </c>
      <c r="K138" s="42"/>
      <c r="L138" s="56" t="s">
        <v>405</v>
      </c>
      <c r="M138" s="56" t="s">
        <v>406</v>
      </c>
      <c r="N138" s="56" t="s">
        <v>407</v>
      </c>
      <c r="O138" s="56" t="s">
        <v>408</v>
      </c>
      <c r="P138" s="56" t="s">
        <v>409</v>
      </c>
      <c r="Q138" s="56" t="s">
        <v>410</v>
      </c>
      <c r="R138" s="273"/>
      <c r="T138" s="16"/>
      <c r="U138" s="16"/>
      <c r="V138" s="16"/>
      <c r="W138" s="16"/>
      <c r="X138" s="16"/>
      <c r="Y138" s="16"/>
      <c r="Z138" s="16"/>
    </row>
    <row r="139" spans="1:26">
      <c r="A139" s="16" t="s">
        <v>442</v>
      </c>
      <c r="B139" s="16" t="s">
        <v>542</v>
      </c>
      <c r="C139" s="58" t="s">
        <v>215</v>
      </c>
      <c r="D139" s="48">
        <v>70</v>
      </c>
      <c r="E139" s="273">
        <v>3</v>
      </c>
      <c r="F139" s="273">
        <v>3</v>
      </c>
      <c r="G139" s="273">
        <v>2</v>
      </c>
      <c r="H139" s="273">
        <v>2</v>
      </c>
      <c r="I139" s="273">
        <v>3</v>
      </c>
      <c r="J139" s="273">
        <v>3</v>
      </c>
      <c r="L139" s="273">
        <f>IF(E139&gt;計分版!$C$13,0,1)</f>
        <v>0</v>
      </c>
      <c r="M139" s="273">
        <f>IF(F139&gt;計分版!$D$13,0,1)</f>
        <v>0</v>
      </c>
      <c r="N139" s="273">
        <f>IF(G139&gt;計分版!$E$13,0,1)</f>
        <v>0</v>
      </c>
      <c r="O139" s="273">
        <f>IF(H139&gt;計分版!$F$13,0,1)</f>
        <v>0</v>
      </c>
      <c r="P139" s="273">
        <f>IF(I139&gt;LARGE(計分版!$G$13:$L$13,1),0,1)</f>
        <v>0</v>
      </c>
      <c r="Q139" s="273">
        <f>IF(J139&gt;LARGE(計分版!$G$13:$L$13,2),0,1)</f>
        <v>0</v>
      </c>
      <c r="S139" s="273">
        <f t="shared" ref="S139:S183" si="5">L139*M139*N139*O139*P139*Q139</f>
        <v>0</v>
      </c>
    </row>
    <row r="140" spans="1:26">
      <c r="A140" s="16" t="s">
        <v>443</v>
      </c>
      <c r="B140" s="16" t="s">
        <v>543</v>
      </c>
      <c r="C140" s="58" t="s">
        <v>214</v>
      </c>
      <c r="D140" s="48">
        <v>26</v>
      </c>
      <c r="E140" s="273">
        <v>3</v>
      </c>
      <c r="F140" s="273">
        <v>3</v>
      </c>
      <c r="G140" s="273">
        <v>2</v>
      </c>
      <c r="H140" s="273">
        <v>2</v>
      </c>
      <c r="I140" s="273">
        <v>3</v>
      </c>
      <c r="J140" s="273">
        <v>3</v>
      </c>
      <c r="L140" s="273">
        <f>IF(E140&gt;計分版!C$13,0,1)</f>
        <v>0</v>
      </c>
      <c r="M140" s="273">
        <f>IF(F140&gt;計分版!D$13,0,1)</f>
        <v>0</v>
      </c>
      <c r="N140" s="273">
        <f>IF(G140&gt;計分版!E$13,0,1)</f>
        <v>0</v>
      </c>
      <c r="O140" s="273">
        <f>IF(H140&gt;計分版!F$13,0,1)</f>
        <v>0</v>
      </c>
      <c r="P140" s="273">
        <f>IF(I140&gt;LARGE(計分版!$G$13:$L$13,1),0,1)</f>
        <v>0</v>
      </c>
      <c r="Q140" s="273">
        <f>IF(J140&gt;LARGE(計分版!$G$13:$L$13,2),0,1)</f>
        <v>0</v>
      </c>
      <c r="S140" s="273">
        <f t="shared" si="5"/>
        <v>0</v>
      </c>
    </row>
    <row r="141" spans="1:26">
      <c r="A141" s="16" t="s">
        <v>444</v>
      </c>
      <c r="B141" s="16" t="s">
        <v>544</v>
      </c>
      <c r="C141" s="58" t="s">
        <v>214</v>
      </c>
      <c r="D141" s="48">
        <v>23</v>
      </c>
      <c r="E141" s="273">
        <v>3</v>
      </c>
      <c r="F141" s="273">
        <v>3</v>
      </c>
      <c r="G141" s="273">
        <v>2</v>
      </c>
      <c r="H141" s="273">
        <v>2</v>
      </c>
      <c r="I141" s="273">
        <v>3</v>
      </c>
      <c r="J141" s="273">
        <v>3</v>
      </c>
      <c r="L141" s="273">
        <f>IF(E141&gt;計分版!C$13,0,1)</f>
        <v>0</v>
      </c>
      <c r="M141" s="273">
        <f>IF(F141&gt;計分版!D$13,0,1)</f>
        <v>0</v>
      </c>
      <c r="N141" s="273">
        <f>IF(G141&gt;計分版!E$13,0,1)</f>
        <v>0</v>
      </c>
      <c r="O141" s="273">
        <f>IF(H141&gt;計分版!F$13,0,1)</f>
        <v>0</v>
      </c>
      <c r="P141" s="273">
        <f>IF(I141&gt;LARGE(計分版!$G$13:$L$13,1),0,1)</f>
        <v>0</v>
      </c>
      <c r="Q141" s="273">
        <f>IF(J141&gt;LARGE(計分版!$G$13:$L$13,2),0,1)</f>
        <v>0</v>
      </c>
      <c r="S141" s="273">
        <f t="shared" si="5"/>
        <v>0</v>
      </c>
    </row>
    <row r="142" spans="1:26">
      <c r="A142" s="16" t="s">
        <v>445</v>
      </c>
      <c r="B142" s="16" t="s">
        <v>545</v>
      </c>
      <c r="C142" s="58" t="s">
        <v>214</v>
      </c>
      <c r="D142" s="48">
        <v>27</v>
      </c>
      <c r="E142" s="273">
        <v>3</v>
      </c>
      <c r="F142" s="273">
        <v>3</v>
      </c>
      <c r="G142" s="273">
        <v>2</v>
      </c>
      <c r="H142" s="273">
        <v>2</v>
      </c>
      <c r="I142" s="273">
        <v>3</v>
      </c>
      <c r="J142" s="273">
        <v>3</v>
      </c>
      <c r="L142" s="273">
        <f>IF(E142&gt;計分版!C$13,0,1)</f>
        <v>0</v>
      </c>
      <c r="M142" s="273">
        <f>IF(F142&gt;計分版!D$13,0,1)</f>
        <v>0</v>
      </c>
      <c r="N142" s="273">
        <f>IF(G142&gt;計分版!E$13,0,1)</f>
        <v>0</v>
      </c>
      <c r="O142" s="273">
        <f>IF(H142&gt;計分版!F$13,0,1)</f>
        <v>0</v>
      </c>
      <c r="P142" s="273">
        <f>IF(I142&gt;LARGE(計分版!$G$13:$L$13,1),0,1)</f>
        <v>0</v>
      </c>
      <c r="Q142" s="273">
        <f>IF(J142&gt;LARGE(計分版!$G$13:$L$13,2),0,1)</f>
        <v>0</v>
      </c>
      <c r="S142" s="273">
        <f t="shared" si="5"/>
        <v>0</v>
      </c>
    </row>
    <row r="143" spans="1:26">
      <c r="A143" s="16" t="s">
        <v>446</v>
      </c>
      <c r="B143" s="16" t="s">
        <v>546</v>
      </c>
      <c r="C143" s="58" t="s">
        <v>214</v>
      </c>
      <c r="D143" s="48">
        <v>37</v>
      </c>
      <c r="E143" s="273">
        <v>3</v>
      </c>
      <c r="F143" s="273">
        <v>3</v>
      </c>
      <c r="G143" s="273">
        <v>2</v>
      </c>
      <c r="H143" s="273">
        <v>2</v>
      </c>
      <c r="I143" s="273">
        <v>3</v>
      </c>
      <c r="J143" s="273">
        <v>3</v>
      </c>
      <c r="L143" s="273">
        <f>IF(E143&gt;計分版!C$13,0,1)</f>
        <v>0</v>
      </c>
      <c r="M143" s="273">
        <f>IF(F143&gt;計分版!D$13,0,1)</f>
        <v>0</v>
      </c>
      <c r="N143" s="273">
        <f>IF(G143&gt;計分版!E$13,0,1)</f>
        <v>0</v>
      </c>
      <c r="O143" s="273">
        <f>IF(H143&gt;計分版!F$13,0,1)</f>
        <v>0</v>
      </c>
      <c r="P143" s="273">
        <f>IF(I143&gt;LARGE(計分版!$G$13:$L$13,1),0,1)</f>
        <v>0</v>
      </c>
      <c r="Q143" s="273">
        <f>IF(J143&gt;LARGE(計分版!$G$13:$L$13,2),0,1)</f>
        <v>0</v>
      </c>
      <c r="S143" s="273">
        <f t="shared" si="5"/>
        <v>0</v>
      </c>
    </row>
    <row r="144" spans="1:26">
      <c r="A144" s="16" t="s">
        <v>447</v>
      </c>
      <c r="B144" s="16" t="s">
        <v>547</v>
      </c>
      <c r="C144" s="58" t="s">
        <v>214</v>
      </c>
      <c r="D144" s="48">
        <v>22</v>
      </c>
      <c r="E144" s="273">
        <v>3</v>
      </c>
      <c r="F144" s="273">
        <v>3</v>
      </c>
      <c r="G144" s="273">
        <v>2</v>
      </c>
      <c r="H144" s="273">
        <v>2</v>
      </c>
      <c r="I144" s="273">
        <v>3</v>
      </c>
      <c r="J144" s="273">
        <v>3</v>
      </c>
      <c r="L144" s="273">
        <f>IF(E144&gt;計分版!C$13,0,1)</f>
        <v>0</v>
      </c>
      <c r="M144" s="273">
        <f>IF(F144&gt;計分版!D$13,0,1)</f>
        <v>0</v>
      </c>
      <c r="N144" s="273">
        <f>IF(G144&gt;計分版!E$13,0,1)</f>
        <v>0</v>
      </c>
      <c r="O144" s="273">
        <f>IF(H144&gt;計分版!F$13,0,1)</f>
        <v>0</v>
      </c>
      <c r="P144" s="273">
        <f>IF(I144&gt;LARGE(計分版!$G$13:$L$13,1),0,1)</f>
        <v>0</v>
      </c>
      <c r="Q144" s="273">
        <f>IF(J144&gt;LARGE(計分版!$G$13:$L$13,2),0,1)</f>
        <v>0</v>
      </c>
      <c r="S144" s="273">
        <f t="shared" si="5"/>
        <v>0</v>
      </c>
    </row>
    <row r="145" spans="1:19">
      <c r="A145" s="16" t="s">
        <v>448</v>
      </c>
      <c r="B145" s="16" t="s">
        <v>548</v>
      </c>
      <c r="C145" s="58" t="s">
        <v>214</v>
      </c>
      <c r="D145" s="48">
        <v>38</v>
      </c>
      <c r="E145" s="273">
        <v>3</v>
      </c>
      <c r="F145" s="273">
        <v>3</v>
      </c>
      <c r="G145" s="273">
        <v>2</v>
      </c>
      <c r="H145" s="273">
        <v>2</v>
      </c>
      <c r="I145" s="273">
        <v>3</v>
      </c>
      <c r="J145" s="273">
        <v>3</v>
      </c>
      <c r="L145" s="273">
        <f>IF(E145&gt;計分版!C$13,0,1)</f>
        <v>0</v>
      </c>
      <c r="M145" s="273">
        <f>IF(F145&gt;計分版!D$13,0,1)</f>
        <v>0</v>
      </c>
      <c r="N145" s="273">
        <f>IF(G145&gt;計分版!E$13,0,1)</f>
        <v>0</v>
      </c>
      <c r="O145" s="273">
        <f>IF(H145&gt;計分版!F$13,0,1)</f>
        <v>0</v>
      </c>
      <c r="P145" s="273">
        <f>IF(I145&gt;LARGE(計分版!$G$13:$L$13,1),0,1)</f>
        <v>0</v>
      </c>
      <c r="Q145" s="273">
        <f>IF(J145&gt;LARGE(計分版!$G$13:$L$13,2),0,1)</f>
        <v>0</v>
      </c>
      <c r="S145" s="273">
        <f t="shared" si="5"/>
        <v>0</v>
      </c>
    </row>
    <row r="146" spans="1:19">
      <c r="A146" s="16" t="s">
        <v>449</v>
      </c>
      <c r="B146" s="16" t="s">
        <v>549</v>
      </c>
      <c r="C146" s="58" t="s">
        <v>606</v>
      </c>
      <c r="D146" s="48">
        <v>54</v>
      </c>
      <c r="E146" s="273">
        <v>3</v>
      </c>
      <c r="F146" s="273">
        <v>3</v>
      </c>
      <c r="G146" s="273">
        <v>2</v>
      </c>
      <c r="H146" s="273">
        <v>2</v>
      </c>
      <c r="I146" s="273">
        <v>3</v>
      </c>
      <c r="J146" s="273">
        <v>3</v>
      </c>
      <c r="L146" s="273">
        <f>IF(E146&gt;計分版!C$13,0,1)</f>
        <v>0</v>
      </c>
      <c r="M146" s="273">
        <f>IF(F146&gt;計分版!D$13,0,1)</f>
        <v>0</v>
      </c>
      <c r="N146" s="273">
        <f>IF(G146&gt;計分版!E$13,0,1)</f>
        <v>0</v>
      </c>
      <c r="O146" s="273">
        <f>IF(H146&gt;計分版!F$13,0,1)</f>
        <v>0</v>
      </c>
      <c r="P146" s="273">
        <f>IF(I146&gt;LARGE(計分版!$G$13:$L$13,1),0,1)</f>
        <v>0</v>
      </c>
      <c r="Q146" s="273">
        <f>IF(J146&gt;LARGE(計分版!$G$13:$L$13,2),0,1)</f>
        <v>0</v>
      </c>
      <c r="S146" s="273">
        <f t="shared" si="5"/>
        <v>0</v>
      </c>
    </row>
    <row r="147" spans="1:19">
      <c r="A147" s="16" t="s">
        <v>450</v>
      </c>
      <c r="B147" s="16" t="s">
        <v>550</v>
      </c>
      <c r="C147" s="58" t="s">
        <v>214</v>
      </c>
      <c r="D147" s="48">
        <v>92</v>
      </c>
      <c r="E147" s="273">
        <v>3</v>
      </c>
      <c r="F147" s="273">
        <v>3</v>
      </c>
      <c r="G147" s="273">
        <v>2</v>
      </c>
      <c r="H147" s="273">
        <v>2</v>
      </c>
      <c r="I147" s="273">
        <v>3</v>
      </c>
      <c r="J147" s="273">
        <v>3</v>
      </c>
      <c r="L147" s="273">
        <f>IF(E147&gt;計分版!C$13,0,1)</f>
        <v>0</v>
      </c>
      <c r="M147" s="273">
        <f>IF(F147&gt;計分版!D$13,0,1)</f>
        <v>0</v>
      </c>
      <c r="N147" s="273">
        <f>IF(G147&gt;計分版!E$13,0,1)</f>
        <v>0</v>
      </c>
      <c r="O147" s="273">
        <f>IF(H147&gt;計分版!F$13,0,1)</f>
        <v>0</v>
      </c>
      <c r="P147" s="273">
        <f>IF(I147&gt;LARGE(計分版!$G$13:$L$13,1),0,1)</f>
        <v>0</v>
      </c>
      <c r="Q147" s="273">
        <f>IF(J147&gt;LARGE(計分版!$G$13:$L$13,2),0,1)</f>
        <v>0</v>
      </c>
      <c r="S147" s="273">
        <f t="shared" si="5"/>
        <v>0</v>
      </c>
    </row>
    <row r="148" spans="1:19">
      <c r="A148" s="16" t="s">
        <v>451</v>
      </c>
      <c r="B148" s="16" t="s">
        <v>551</v>
      </c>
      <c r="C148" s="58" t="s">
        <v>214</v>
      </c>
      <c r="D148" s="48">
        <v>56</v>
      </c>
      <c r="E148" s="273">
        <v>3</v>
      </c>
      <c r="F148" s="273">
        <v>3</v>
      </c>
      <c r="G148" s="273">
        <v>2</v>
      </c>
      <c r="H148" s="273">
        <v>2</v>
      </c>
      <c r="I148" s="273">
        <v>3</v>
      </c>
      <c r="J148" s="273">
        <v>3</v>
      </c>
      <c r="L148" s="273">
        <f>IF(E148&gt;計分版!C$13,0,1)</f>
        <v>0</v>
      </c>
      <c r="M148" s="273">
        <f>IF(F148&gt;計分版!D$13,0,1)</f>
        <v>0</v>
      </c>
      <c r="N148" s="273">
        <f>IF(G148&gt;計分版!E$13,0,1)</f>
        <v>0</v>
      </c>
      <c r="O148" s="273">
        <f>IF(H148&gt;計分版!F$13,0,1)</f>
        <v>0</v>
      </c>
      <c r="P148" s="273">
        <f>IF(I148&gt;LARGE(計分版!$G$13:$L$13,1),0,1)</f>
        <v>0</v>
      </c>
      <c r="Q148" s="273">
        <f>IF(J148&gt;LARGE(計分版!$G$13:$L$13,2),0,1)</f>
        <v>0</v>
      </c>
      <c r="S148" s="273">
        <f t="shared" si="5"/>
        <v>0</v>
      </c>
    </row>
    <row r="149" spans="1:19">
      <c r="A149" s="16" t="s">
        <v>452</v>
      </c>
      <c r="B149" s="16" t="s">
        <v>552</v>
      </c>
      <c r="C149" s="58" t="s">
        <v>214</v>
      </c>
      <c r="D149" s="48">
        <v>27</v>
      </c>
      <c r="E149" s="273">
        <v>3</v>
      </c>
      <c r="F149" s="273">
        <v>3</v>
      </c>
      <c r="G149" s="273">
        <v>2</v>
      </c>
      <c r="H149" s="273">
        <v>2</v>
      </c>
      <c r="I149" s="273">
        <v>3</v>
      </c>
      <c r="J149" s="273">
        <v>3</v>
      </c>
      <c r="L149" s="273">
        <f>IF(E149&gt;計分版!C$13,0,1)</f>
        <v>0</v>
      </c>
      <c r="M149" s="273">
        <f>IF(F149&gt;計分版!D$13,0,1)</f>
        <v>0</v>
      </c>
      <c r="N149" s="273">
        <f>IF(G149&gt;計分版!E$13,0,1)</f>
        <v>0</v>
      </c>
      <c r="O149" s="273">
        <f>IF(H149&gt;計分版!F$13,0,1)</f>
        <v>0</v>
      </c>
      <c r="P149" s="273">
        <f>IF(I149&gt;LARGE(計分版!$G$13:$L$13,1),0,1)</f>
        <v>0</v>
      </c>
      <c r="Q149" s="273">
        <f>IF(J149&gt;LARGE(計分版!$G$13:$L$13,2),0,1)</f>
        <v>0</v>
      </c>
      <c r="S149" s="273">
        <f t="shared" si="5"/>
        <v>0</v>
      </c>
    </row>
    <row r="150" spans="1:19">
      <c r="A150" s="16" t="s">
        <v>453</v>
      </c>
      <c r="B150" s="16" t="s">
        <v>553</v>
      </c>
      <c r="C150" s="58" t="s">
        <v>214</v>
      </c>
      <c r="D150" s="48">
        <v>29</v>
      </c>
      <c r="E150" s="273">
        <v>3</v>
      </c>
      <c r="F150" s="273">
        <v>3</v>
      </c>
      <c r="G150" s="273">
        <v>2</v>
      </c>
      <c r="H150" s="273">
        <v>2</v>
      </c>
      <c r="I150" s="273">
        <v>3</v>
      </c>
      <c r="J150" s="273">
        <v>3</v>
      </c>
      <c r="L150" s="273">
        <f>IF(E150&gt;計分版!C$13,0,1)</f>
        <v>0</v>
      </c>
      <c r="M150" s="273">
        <f>IF(F150&gt;計分版!D$13,0,1)</f>
        <v>0</v>
      </c>
      <c r="N150" s="273">
        <f>IF(G150&gt;計分版!E$13,0,1)</f>
        <v>0</v>
      </c>
      <c r="O150" s="273">
        <f>IF(H150&gt;計分版!F$13,0,1)</f>
        <v>0</v>
      </c>
      <c r="P150" s="273">
        <f>IF(I150&gt;LARGE(計分版!$G$13:$L$13,1),0,1)</f>
        <v>0</v>
      </c>
      <c r="Q150" s="273">
        <f>IF(J150&gt;LARGE(計分版!$G$13:$L$13,2),0,1)</f>
        <v>0</v>
      </c>
      <c r="S150" s="273">
        <f t="shared" si="5"/>
        <v>0</v>
      </c>
    </row>
    <row r="151" spans="1:19">
      <c r="A151" s="16" t="s">
        <v>454</v>
      </c>
      <c r="B151" s="16" t="s">
        <v>554</v>
      </c>
      <c r="C151" s="58" t="s">
        <v>214</v>
      </c>
      <c r="D151" s="48">
        <v>56</v>
      </c>
      <c r="E151" s="273">
        <v>3</v>
      </c>
      <c r="F151" s="273">
        <v>3</v>
      </c>
      <c r="G151" s="273">
        <v>2</v>
      </c>
      <c r="H151" s="273">
        <v>2</v>
      </c>
      <c r="I151" s="273">
        <v>3</v>
      </c>
      <c r="J151" s="273">
        <v>3</v>
      </c>
      <c r="L151" s="273">
        <f>IF(E151&gt;計分版!C$13,0,1)</f>
        <v>0</v>
      </c>
      <c r="M151" s="273">
        <f>IF(F151&gt;計分版!D$13,0,1)</f>
        <v>0</v>
      </c>
      <c r="N151" s="273">
        <f>IF(G151&gt;計分版!E$13,0,1)</f>
        <v>0</v>
      </c>
      <c r="O151" s="273">
        <f>IF(H151&gt;計分版!F$13,0,1)</f>
        <v>0</v>
      </c>
      <c r="P151" s="273">
        <f>IF(I151&gt;LARGE(計分版!$G$13:$L$13,1),0,1)</f>
        <v>0</v>
      </c>
      <c r="Q151" s="273">
        <f>IF(J151&gt;LARGE(計分版!$G$13:$L$13,2),0,1)</f>
        <v>0</v>
      </c>
      <c r="S151" s="273">
        <f t="shared" si="5"/>
        <v>0</v>
      </c>
    </row>
    <row r="152" spans="1:19">
      <c r="A152" s="16" t="s">
        <v>455</v>
      </c>
      <c r="B152" s="16" t="s">
        <v>555</v>
      </c>
      <c r="C152" s="58" t="s">
        <v>214</v>
      </c>
      <c r="D152" s="48">
        <v>81</v>
      </c>
      <c r="E152" s="273">
        <v>3</v>
      </c>
      <c r="F152" s="273">
        <v>3</v>
      </c>
      <c r="G152" s="273">
        <v>2</v>
      </c>
      <c r="H152" s="273">
        <v>2</v>
      </c>
      <c r="I152" s="273">
        <v>3</v>
      </c>
      <c r="J152" s="273">
        <v>3</v>
      </c>
      <c r="L152" s="273">
        <f>IF(E152&gt;計分版!C$13,0,1)</f>
        <v>0</v>
      </c>
      <c r="M152" s="273">
        <f>IF(F152&gt;計分版!D$13,0,1)</f>
        <v>0</v>
      </c>
      <c r="N152" s="273">
        <f>IF(G152&gt;計分版!E$13,0,1)</f>
        <v>0</v>
      </c>
      <c r="O152" s="273">
        <f>IF(H152&gt;計分版!F$13,0,1)</f>
        <v>0</v>
      </c>
      <c r="P152" s="273">
        <f>IF(I152&gt;LARGE(計分版!$G$13:$L$13,1),0,1)</f>
        <v>0</v>
      </c>
      <c r="Q152" s="273">
        <f>IF(J152&gt;LARGE(計分版!$G$13:$L$13,2),0,1)</f>
        <v>0</v>
      </c>
      <c r="S152" s="273">
        <f t="shared" si="5"/>
        <v>0</v>
      </c>
    </row>
    <row r="153" spans="1:19">
      <c r="A153" s="16" t="s">
        <v>456</v>
      </c>
      <c r="B153" s="16" t="s">
        <v>556</v>
      </c>
      <c r="C153" s="58" t="s">
        <v>214</v>
      </c>
      <c r="D153" s="48">
        <v>51</v>
      </c>
      <c r="E153" s="273">
        <v>3</v>
      </c>
      <c r="F153" s="273">
        <v>3</v>
      </c>
      <c r="G153" s="273">
        <v>2</v>
      </c>
      <c r="H153" s="273">
        <v>2</v>
      </c>
      <c r="I153" s="273">
        <v>3</v>
      </c>
      <c r="J153" s="273">
        <v>3</v>
      </c>
      <c r="L153" s="273">
        <f>IF(E153&gt;計分版!C$13,0,1)</f>
        <v>0</v>
      </c>
      <c r="M153" s="273">
        <f>IF(F153&gt;計分版!D$13,0,1)</f>
        <v>0</v>
      </c>
      <c r="N153" s="273">
        <f>IF(G153&gt;計分版!E$13,0,1)</f>
        <v>0</v>
      </c>
      <c r="O153" s="273">
        <f>IF(H153&gt;計分版!F$13,0,1)</f>
        <v>0</v>
      </c>
      <c r="P153" s="273">
        <f>IF(I153&gt;LARGE(計分版!$G$13:$L$13,1),0,1)</f>
        <v>0</v>
      </c>
      <c r="Q153" s="273">
        <f>IF(J153&gt;LARGE(計分版!$G$13:$L$13,2),0,1)</f>
        <v>0</v>
      </c>
      <c r="S153" s="273">
        <f t="shared" si="5"/>
        <v>0</v>
      </c>
    </row>
    <row r="154" spans="1:19">
      <c r="A154" s="16" t="s">
        <v>457</v>
      </c>
      <c r="B154" s="16" t="s">
        <v>557</v>
      </c>
      <c r="C154" s="58" t="s">
        <v>214</v>
      </c>
      <c r="D154" s="48">
        <v>50</v>
      </c>
      <c r="E154" s="273">
        <v>3</v>
      </c>
      <c r="F154" s="273">
        <v>3</v>
      </c>
      <c r="G154" s="273">
        <v>2</v>
      </c>
      <c r="H154" s="273">
        <v>2</v>
      </c>
      <c r="I154" s="273">
        <v>3</v>
      </c>
      <c r="J154" s="273">
        <v>3</v>
      </c>
      <c r="L154" s="273">
        <f>IF(E154&gt;計分版!C$13,0,1)</f>
        <v>0</v>
      </c>
      <c r="M154" s="273">
        <f>IF(F154&gt;計分版!D$13,0,1)</f>
        <v>0</v>
      </c>
      <c r="N154" s="273">
        <f>IF(G154&gt;計分版!E$13,0,1)</f>
        <v>0</v>
      </c>
      <c r="O154" s="273">
        <f>IF(H154&gt;計分版!F$13,0,1)</f>
        <v>0</v>
      </c>
      <c r="P154" s="273">
        <f>IF(I154&gt;LARGE(計分版!$G$13:$L$13,1),0,1)</f>
        <v>0</v>
      </c>
      <c r="Q154" s="273">
        <f>IF(J154&gt;LARGE(計分版!$G$13:$L$13,2),0,1)</f>
        <v>0</v>
      </c>
      <c r="S154" s="273">
        <f t="shared" si="5"/>
        <v>0</v>
      </c>
    </row>
    <row r="155" spans="1:19">
      <c r="A155" s="16" t="s">
        <v>458</v>
      </c>
      <c r="B155" s="16" t="s">
        <v>558</v>
      </c>
      <c r="C155" s="58" t="s">
        <v>214</v>
      </c>
      <c r="D155" s="48">
        <v>30</v>
      </c>
      <c r="E155" s="273">
        <v>3</v>
      </c>
      <c r="F155" s="273">
        <v>3</v>
      </c>
      <c r="G155" s="273">
        <v>2</v>
      </c>
      <c r="H155" s="273">
        <v>2</v>
      </c>
      <c r="I155" s="273">
        <v>3</v>
      </c>
      <c r="J155" s="273">
        <v>3</v>
      </c>
      <c r="L155" s="273">
        <f>IF(E155&gt;計分版!C$13,0,1)</f>
        <v>0</v>
      </c>
      <c r="M155" s="273">
        <f>IF(F155&gt;計分版!D$13,0,1)</f>
        <v>0</v>
      </c>
      <c r="N155" s="273">
        <f>IF(G155&gt;計分版!E$13,0,1)</f>
        <v>0</v>
      </c>
      <c r="O155" s="273">
        <f>IF(H155&gt;計分版!F$13,0,1)</f>
        <v>0</v>
      </c>
      <c r="P155" s="273">
        <f>IF(I155&gt;LARGE(計分版!$G$13:$L$13,1),0,1)</f>
        <v>0</v>
      </c>
      <c r="Q155" s="273">
        <f>IF(J155&gt;LARGE(計分版!$G$13:$L$13,2),0,1)</f>
        <v>0</v>
      </c>
      <c r="S155" s="273">
        <f t="shared" si="5"/>
        <v>0</v>
      </c>
    </row>
    <row r="156" spans="1:19">
      <c r="A156" s="16" t="s">
        <v>459</v>
      </c>
      <c r="B156" s="16" t="s">
        <v>559</v>
      </c>
      <c r="C156" s="58" t="s">
        <v>214</v>
      </c>
      <c r="D156" s="48">
        <v>19</v>
      </c>
      <c r="E156" s="273">
        <v>3</v>
      </c>
      <c r="F156" s="273">
        <v>3</v>
      </c>
      <c r="G156" s="273">
        <v>2</v>
      </c>
      <c r="H156" s="273">
        <v>2</v>
      </c>
      <c r="I156" s="273">
        <v>3</v>
      </c>
      <c r="J156" s="273">
        <v>3</v>
      </c>
      <c r="L156" s="273">
        <f>IF(E156&gt;計分版!C$13,0,1)</f>
        <v>0</v>
      </c>
      <c r="M156" s="273">
        <f>IF(F156&gt;計分版!D$13,0,1)</f>
        <v>0</v>
      </c>
      <c r="N156" s="273">
        <f>IF(G156&gt;計分版!E$13,0,1)</f>
        <v>0</v>
      </c>
      <c r="O156" s="273">
        <f>IF(H156&gt;計分版!F$13,0,1)</f>
        <v>0</v>
      </c>
      <c r="P156" s="273">
        <f>IF(I156&gt;LARGE(計分版!$G$13:$L$13,1),0,1)</f>
        <v>0</v>
      </c>
      <c r="Q156" s="273">
        <f>IF(J156&gt;LARGE(計分版!$G$13:$L$13,2),0,1)</f>
        <v>0</v>
      </c>
      <c r="S156" s="273">
        <f t="shared" si="5"/>
        <v>0</v>
      </c>
    </row>
    <row r="157" spans="1:19">
      <c r="A157" s="16" t="s">
        <v>460</v>
      </c>
      <c r="B157" s="16" t="s">
        <v>560</v>
      </c>
      <c r="C157" s="58" t="s">
        <v>606</v>
      </c>
      <c r="D157" s="48">
        <v>110</v>
      </c>
      <c r="E157" s="273">
        <v>3</v>
      </c>
      <c r="F157" s="273">
        <v>3</v>
      </c>
      <c r="G157" s="273">
        <v>2</v>
      </c>
      <c r="H157" s="273">
        <v>2</v>
      </c>
      <c r="I157" s="273">
        <v>3</v>
      </c>
      <c r="J157" s="273">
        <v>3</v>
      </c>
      <c r="L157" s="273">
        <f>IF(E157&gt;計分版!C$13,0,1)</f>
        <v>0</v>
      </c>
      <c r="M157" s="273">
        <f>IF(F157&gt;計分版!D$13,0,1)</f>
        <v>0</v>
      </c>
      <c r="N157" s="273">
        <f>IF(G157&gt;計分版!E$13,0,1)</f>
        <v>0</v>
      </c>
      <c r="O157" s="273">
        <f>IF(H157&gt;計分版!F$13,0,1)</f>
        <v>0</v>
      </c>
      <c r="P157" s="273">
        <f>IF(I157&gt;LARGE(計分版!$G$13:$L$13,1),0,1)</f>
        <v>0</v>
      </c>
      <c r="Q157" s="273">
        <f>IF(J157&gt;LARGE(計分版!$G$13:$L$13,2),0,1)</f>
        <v>0</v>
      </c>
      <c r="S157" s="273">
        <f t="shared" si="5"/>
        <v>0</v>
      </c>
    </row>
    <row r="158" spans="1:19">
      <c r="A158" s="16" t="s">
        <v>461</v>
      </c>
      <c r="B158" s="16" t="s">
        <v>561</v>
      </c>
      <c r="C158" s="58" t="s">
        <v>606</v>
      </c>
      <c r="D158" s="48">
        <v>100</v>
      </c>
      <c r="E158" s="273">
        <v>3</v>
      </c>
      <c r="F158" s="273">
        <v>3</v>
      </c>
      <c r="G158" s="273">
        <v>2</v>
      </c>
      <c r="H158" s="273">
        <v>2</v>
      </c>
      <c r="I158" s="273">
        <v>3</v>
      </c>
      <c r="J158" s="273">
        <v>3</v>
      </c>
      <c r="L158" s="273">
        <f>IF(E158&gt;計分版!C$13,0,1)</f>
        <v>0</v>
      </c>
      <c r="M158" s="273">
        <f>IF(F158&gt;計分版!D$13,0,1)</f>
        <v>0</v>
      </c>
      <c r="N158" s="273">
        <f>IF(G158&gt;計分版!E$13,0,1)</f>
        <v>0</v>
      </c>
      <c r="O158" s="273">
        <f>IF(H158&gt;計分版!F$13,0,1)</f>
        <v>0</v>
      </c>
      <c r="P158" s="273">
        <f>IF(I158&gt;LARGE(計分版!$G$13:$L$13,1),0,1)</f>
        <v>0</v>
      </c>
      <c r="Q158" s="273">
        <f>IF(J158&gt;LARGE(計分版!$G$13:$L$13,2),0,1)</f>
        <v>0</v>
      </c>
      <c r="S158" s="273">
        <f t="shared" si="5"/>
        <v>0</v>
      </c>
    </row>
    <row r="159" spans="1:19">
      <c r="A159" s="16" t="s">
        <v>462</v>
      </c>
      <c r="B159" s="16" t="s">
        <v>562</v>
      </c>
      <c r="C159" s="58" t="s">
        <v>606</v>
      </c>
      <c r="D159" s="48">
        <v>150</v>
      </c>
      <c r="E159" s="273">
        <v>3</v>
      </c>
      <c r="F159" s="273">
        <v>3</v>
      </c>
      <c r="G159" s="273">
        <v>2</v>
      </c>
      <c r="H159" s="273">
        <v>2</v>
      </c>
      <c r="I159" s="273">
        <v>3</v>
      </c>
      <c r="J159" s="273">
        <v>3</v>
      </c>
      <c r="L159" s="273">
        <f>IF(E159&gt;計分版!C$13,0,1)</f>
        <v>0</v>
      </c>
      <c r="M159" s="273">
        <f>IF(F159&gt;計分版!D$13,0,1)</f>
        <v>0</v>
      </c>
      <c r="N159" s="273">
        <f>IF(G159&gt;計分版!E$13,0,1)</f>
        <v>0</v>
      </c>
      <c r="O159" s="273">
        <f>IF(H159&gt;計分版!F$13,0,1)</f>
        <v>0</v>
      </c>
      <c r="P159" s="273">
        <f>IF(I159&gt;LARGE(計分版!$G$13:$L$13,1),0,1)</f>
        <v>0</v>
      </c>
      <c r="Q159" s="273">
        <f>IF(J159&gt;LARGE(計分版!$G$13:$L$13,2),0,1)</f>
        <v>0</v>
      </c>
      <c r="S159" s="273">
        <f t="shared" si="5"/>
        <v>0</v>
      </c>
    </row>
    <row r="160" spans="1:19">
      <c r="A160" s="16" t="s">
        <v>463</v>
      </c>
      <c r="B160" s="16" t="s">
        <v>563</v>
      </c>
      <c r="C160" s="58" t="s">
        <v>215</v>
      </c>
      <c r="D160" s="48">
        <v>193</v>
      </c>
      <c r="E160" s="273">
        <v>3</v>
      </c>
      <c r="F160" s="273">
        <v>3</v>
      </c>
      <c r="G160" s="273">
        <v>2</v>
      </c>
      <c r="H160" s="273">
        <v>2</v>
      </c>
      <c r="I160" s="273">
        <v>3</v>
      </c>
      <c r="J160" s="273">
        <v>3</v>
      </c>
      <c r="L160" s="273">
        <f>IF(E160&gt;計分版!C$13,0,1)</f>
        <v>0</v>
      </c>
      <c r="M160" s="273">
        <f>IF(F160&gt;計分版!D$13,0,1)</f>
        <v>0</v>
      </c>
      <c r="N160" s="273">
        <f>IF(G160&gt;計分版!E$13,0,1)</f>
        <v>0</v>
      </c>
      <c r="O160" s="273">
        <f>IF(H160&gt;計分版!F$13,0,1)</f>
        <v>0</v>
      </c>
      <c r="P160" s="273">
        <f>IF(I160&gt;LARGE(計分版!$G$13:$L$13,1),0,1)</f>
        <v>0</v>
      </c>
      <c r="Q160" s="273">
        <f>IF(J160&gt;LARGE(計分版!$G$13:$L$13,2),0,1)</f>
        <v>0</v>
      </c>
      <c r="S160" s="273">
        <f t="shared" si="5"/>
        <v>0</v>
      </c>
    </row>
    <row r="161" spans="1:19">
      <c r="A161" s="16" t="s">
        <v>464</v>
      </c>
      <c r="B161" s="16" t="s">
        <v>564</v>
      </c>
      <c r="C161" s="58" t="s">
        <v>606</v>
      </c>
      <c r="D161" s="48">
        <v>45</v>
      </c>
      <c r="E161" s="273">
        <v>3</v>
      </c>
      <c r="F161" s="273">
        <v>3</v>
      </c>
      <c r="G161" s="273">
        <v>2</v>
      </c>
      <c r="H161" s="273">
        <v>2</v>
      </c>
      <c r="I161" s="273">
        <v>3</v>
      </c>
      <c r="J161" s="273">
        <v>3</v>
      </c>
      <c r="L161" s="273">
        <f>IF(E161&gt;計分版!C$13,0,1)</f>
        <v>0</v>
      </c>
      <c r="M161" s="273">
        <f>IF(F161&gt;計分版!D$13,0,1)</f>
        <v>0</v>
      </c>
      <c r="N161" s="273">
        <f>IF(G161&gt;計分版!E$13,0,1)</f>
        <v>0</v>
      </c>
      <c r="O161" s="273">
        <f>IF(H161&gt;計分版!F$13,0,1)</f>
        <v>0</v>
      </c>
      <c r="P161" s="273">
        <f>IF(I161&gt;LARGE(計分版!$G$13:$L$13,1),0,1)</f>
        <v>0</v>
      </c>
      <c r="Q161" s="273">
        <f>IF(J161&gt;LARGE(計分版!$G$13:$L$13,2),0,1)</f>
        <v>0</v>
      </c>
      <c r="S161" s="273">
        <f t="shared" si="5"/>
        <v>0</v>
      </c>
    </row>
    <row r="162" spans="1:19">
      <c r="A162" s="16" t="s">
        <v>465</v>
      </c>
      <c r="B162" s="16" t="s">
        <v>565</v>
      </c>
      <c r="C162" s="58" t="s">
        <v>215</v>
      </c>
      <c r="D162" s="48">
        <v>32</v>
      </c>
      <c r="E162" s="273">
        <v>3</v>
      </c>
      <c r="F162" s="273">
        <v>3</v>
      </c>
      <c r="G162" s="273">
        <v>2</v>
      </c>
      <c r="H162" s="273">
        <v>2</v>
      </c>
      <c r="I162" s="273">
        <v>3</v>
      </c>
      <c r="J162" s="273">
        <v>3</v>
      </c>
      <c r="L162" s="273">
        <f>IF(E162&gt;計分版!C$13,0,1)</f>
        <v>0</v>
      </c>
      <c r="M162" s="273">
        <f>IF(F162&gt;計分版!D$13,0,1)</f>
        <v>0</v>
      </c>
      <c r="N162" s="273">
        <f>IF(G162&gt;計分版!E$13,0,1)</f>
        <v>0</v>
      </c>
      <c r="O162" s="273">
        <f>IF(H162&gt;計分版!F$13,0,1)</f>
        <v>0</v>
      </c>
      <c r="P162" s="273">
        <f>IF(I162&gt;LARGE(計分版!$G$13:$L$13,1),0,1)</f>
        <v>0</v>
      </c>
      <c r="Q162" s="273">
        <f>IF(J162&gt;LARGE(計分版!$G$13:$L$13,2),0,1)</f>
        <v>0</v>
      </c>
      <c r="S162" s="273">
        <f t="shared" si="5"/>
        <v>0</v>
      </c>
    </row>
    <row r="163" spans="1:19">
      <c r="A163" s="16" t="s">
        <v>466</v>
      </c>
      <c r="B163" s="16" t="s">
        <v>566</v>
      </c>
      <c r="C163" s="58" t="s">
        <v>214</v>
      </c>
      <c r="D163" s="48">
        <v>31</v>
      </c>
      <c r="E163" s="273">
        <v>3</v>
      </c>
      <c r="F163" s="273">
        <v>3</v>
      </c>
      <c r="G163" s="273">
        <v>2</v>
      </c>
      <c r="H163" s="273">
        <v>2</v>
      </c>
      <c r="I163" s="273">
        <v>3</v>
      </c>
      <c r="J163" s="273">
        <v>3</v>
      </c>
      <c r="L163" s="273">
        <f>IF(E163&gt;計分版!C$13,0,1)</f>
        <v>0</v>
      </c>
      <c r="M163" s="273">
        <f>IF(F163&gt;計分版!D$13,0,1)</f>
        <v>0</v>
      </c>
      <c r="N163" s="273">
        <f>IF(G163&gt;計分版!E$13,0,1)</f>
        <v>0</v>
      </c>
      <c r="O163" s="273">
        <f>IF(H163&gt;計分版!F$13,0,1)</f>
        <v>0</v>
      </c>
      <c r="P163" s="273">
        <f>IF(I163&gt;LARGE(計分版!$G$13:$L$13,1),0,1)</f>
        <v>0</v>
      </c>
      <c r="Q163" s="273">
        <f>IF(J163&gt;LARGE(計分版!$G$13:$L$13,2),0,1)</f>
        <v>0</v>
      </c>
      <c r="S163" s="273">
        <f t="shared" si="5"/>
        <v>0</v>
      </c>
    </row>
    <row r="164" spans="1:19">
      <c r="A164" s="16" t="s">
        <v>467</v>
      </c>
      <c r="B164" s="16" t="s">
        <v>567</v>
      </c>
      <c r="C164" s="58" t="s">
        <v>214</v>
      </c>
      <c r="D164" s="48">
        <v>37</v>
      </c>
      <c r="E164" s="273">
        <v>3</v>
      </c>
      <c r="F164" s="273">
        <v>3</v>
      </c>
      <c r="G164" s="273">
        <v>2</v>
      </c>
      <c r="H164" s="273">
        <v>2</v>
      </c>
      <c r="I164" s="273">
        <v>3</v>
      </c>
      <c r="J164" s="273">
        <v>3</v>
      </c>
      <c r="L164" s="273">
        <f>IF(E164&gt;計分版!C$13,0,1)</f>
        <v>0</v>
      </c>
      <c r="M164" s="273">
        <f>IF(F164&gt;計分版!D$13,0,1)</f>
        <v>0</v>
      </c>
      <c r="N164" s="273">
        <f>IF(G164&gt;計分版!E$13,0,1)</f>
        <v>0</v>
      </c>
      <c r="O164" s="273">
        <f>IF(H164&gt;計分版!F$13,0,1)</f>
        <v>0</v>
      </c>
      <c r="P164" s="273">
        <f>IF(I164&gt;LARGE(計分版!$G$13:$L$13,1),0,1)</f>
        <v>0</v>
      </c>
      <c r="Q164" s="273">
        <f>IF(J164&gt;LARGE(計分版!$G$13:$L$13,2),0,1)</f>
        <v>0</v>
      </c>
      <c r="S164" s="273">
        <f t="shared" si="5"/>
        <v>0</v>
      </c>
    </row>
    <row r="165" spans="1:19">
      <c r="A165" s="16" t="s">
        <v>468</v>
      </c>
      <c r="B165" s="16" t="s">
        <v>568</v>
      </c>
      <c r="C165" s="58" t="s">
        <v>214</v>
      </c>
      <c r="D165" s="48">
        <v>39</v>
      </c>
      <c r="E165" s="273">
        <v>3</v>
      </c>
      <c r="F165" s="273">
        <v>3</v>
      </c>
      <c r="G165" s="273">
        <v>2</v>
      </c>
      <c r="H165" s="273">
        <v>2</v>
      </c>
      <c r="I165" s="273">
        <v>3</v>
      </c>
      <c r="J165" s="273">
        <v>3</v>
      </c>
      <c r="L165" s="273">
        <f>IF(E165&gt;計分版!C$13,0,1)</f>
        <v>0</v>
      </c>
      <c r="M165" s="273">
        <f>IF(F165&gt;計分版!D$13,0,1)</f>
        <v>0</v>
      </c>
      <c r="N165" s="273">
        <f>IF(G165&gt;計分版!E$13,0,1)</f>
        <v>0</v>
      </c>
      <c r="O165" s="273">
        <f>IF(H165&gt;計分版!F$13,0,1)</f>
        <v>0</v>
      </c>
      <c r="P165" s="273">
        <f>IF(I165&gt;LARGE(計分版!$G$13:$L$13,1),0,1)</f>
        <v>0</v>
      </c>
      <c r="Q165" s="273">
        <f>IF(J165&gt;LARGE(計分版!$G$13:$L$13,2),0,1)</f>
        <v>0</v>
      </c>
      <c r="S165" s="273">
        <f t="shared" si="5"/>
        <v>0</v>
      </c>
    </row>
    <row r="166" spans="1:19">
      <c r="A166" s="16" t="s">
        <v>469</v>
      </c>
      <c r="B166" s="16" t="s">
        <v>569</v>
      </c>
      <c r="C166" s="58" t="s">
        <v>214</v>
      </c>
      <c r="D166" s="48">
        <v>62</v>
      </c>
      <c r="E166" s="273">
        <v>3</v>
      </c>
      <c r="F166" s="273">
        <v>3</v>
      </c>
      <c r="G166" s="273">
        <v>2</v>
      </c>
      <c r="H166" s="273">
        <v>2</v>
      </c>
      <c r="I166" s="273">
        <v>3</v>
      </c>
      <c r="J166" s="273">
        <v>3</v>
      </c>
      <c r="L166" s="273">
        <f>IF(E166&gt;計分版!C$13,0,1)</f>
        <v>0</v>
      </c>
      <c r="M166" s="273">
        <f>IF(F166&gt;計分版!D$13,0,1)</f>
        <v>0</v>
      </c>
      <c r="N166" s="273">
        <f>IF(G166&gt;計分版!E$13,0,1)</f>
        <v>0</v>
      </c>
      <c r="O166" s="273">
        <f>IF(H166&gt;計分版!F$13,0,1)</f>
        <v>0</v>
      </c>
      <c r="P166" s="273">
        <f>IF(I166&gt;LARGE(計分版!$G$13:$L$13,1),0,1)</f>
        <v>0</v>
      </c>
      <c r="Q166" s="273">
        <f>IF(J166&gt;LARGE(計分版!$G$13:$L$13,2),0,1)</f>
        <v>0</v>
      </c>
      <c r="S166" s="273">
        <f t="shared" si="5"/>
        <v>0</v>
      </c>
    </row>
    <row r="167" spans="1:19">
      <c r="A167" s="16" t="s">
        <v>470</v>
      </c>
      <c r="B167" s="16" t="s">
        <v>570</v>
      </c>
      <c r="C167" s="58" t="s">
        <v>214</v>
      </c>
      <c r="D167" s="48">
        <v>62</v>
      </c>
      <c r="E167" s="273">
        <v>3</v>
      </c>
      <c r="F167" s="273">
        <v>3</v>
      </c>
      <c r="G167" s="273">
        <v>2</v>
      </c>
      <c r="H167" s="273">
        <v>2</v>
      </c>
      <c r="I167" s="273">
        <v>3</v>
      </c>
      <c r="J167" s="273">
        <v>3</v>
      </c>
      <c r="L167" s="273">
        <f>IF(E167&gt;計分版!C$13,0,1)</f>
        <v>0</v>
      </c>
      <c r="M167" s="273">
        <f>IF(F167&gt;計分版!D$13,0,1)</f>
        <v>0</v>
      </c>
      <c r="N167" s="273">
        <f>IF(G167&gt;計分版!E$13,0,1)</f>
        <v>0</v>
      </c>
      <c r="O167" s="273">
        <f>IF(H167&gt;計分版!F$13,0,1)</f>
        <v>0</v>
      </c>
      <c r="P167" s="273">
        <f>IF(I167&gt;LARGE(計分版!$G$13:$L$13,1),0,1)</f>
        <v>0</v>
      </c>
      <c r="Q167" s="273">
        <f>IF(J167&gt;LARGE(計分版!$G$13:$L$13,2),0,1)</f>
        <v>0</v>
      </c>
      <c r="S167" s="273">
        <f t="shared" si="5"/>
        <v>0</v>
      </c>
    </row>
    <row r="168" spans="1:19">
      <c r="A168" s="16" t="s">
        <v>471</v>
      </c>
      <c r="B168" s="16" t="s">
        <v>571</v>
      </c>
      <c r="C168" s="58" t="s">
        <v>214</v>
      </c>
      <c r="D168" s="48">
        <v>29</v>
      </c>
      <c r="E168" s="273">
        <v>3</v>
      </c>
      <c r="F168" s="273">
        <v>3</v>
      </c>
      <c r="G168" s="273">
        <v>2</v>
      </c>
      <c r="H168" s="273">
        <v>2</v>
      </c>
      <c r="I168" s="273">
        <v>3</v>
      </c>
      <c r="J168" s="273">
        <v>3</v>
      </c>
      <c r="L168" s="273">
        <f>IF(E168&gt;計分版!C$13,0,1)</f>
        <v>0</v>
      </c>
      <c r="M168" s="273">
        <f>IF(F168&gt;計分版!D$13,0,1)</f>
        <v>0</v>
      </c>
      <c r="N168" s="273">
        <f>IF(G168&gt;計分版!E$13,0,1)</f>
        <v>0</v>
      </c>
      <c r="O168" s="273">
        <f>IF(H168&gt;計分版!F$13,0,1)</f>
        <v>0</v>
      </c>
      <c r="P168" s="273">
        <f>IF(I168&gt;LARGE(計分版!$G$13:$L$13,1),0,1)</f>
        <v>0</v>
      </c>
      <c r="Q168" s="273">
        <f>IF(J168&gt;LARGE(計分版!$G$13:$L$13,2),0,1)</f>
        <v>0</v>
      </c>
      <c r="S168" s="273">
        <f t="shared" si="5"/>
        <v>0</v>
      </c>
    </row>
    <row r="169" spans="1:19">
      <c r="A169" s="16" t="s">
        <v>472</v>
      </c>
      <c r="B169" s="16" t="s">
        <v>572</v>
      </c>
      <c r="C169" s="58" t="s">
        <v>215</v>
      </c>
      <c r="D169" s="48">
        <v>18</v>
      </c>
      <c r="E169" s="273">
        <v>3</v>
      </c>
      <c r="F169" s="273">
        <v>3</v>
      </c>
      <c r="G169" s="273">
        <v>2</v>
      </c>
      <c r="H169" s="273">
        <v>2</v>
      </c>
      <c r="I169" s="273">
        <v>3</v>
      </c>
      <c r="J169" s="273">
        <v>3</v>
      </c>
      <c r="L169" s="273">
        <f>IF(E169&gt;計分版!C$13,0,1)</f>
        <v>0</v>
      </c>
      <c r="M169" s="273">
        <f>IF(F169&gt;計分版!D$13,0,1)</f>
        <v>0</v>
      </c>
      <c r="N169" s="273">
        <f>IF(G169&gt;計分版!E$13,0,1)</f>
        <v>0</v>
      </c>
      <c r="O169" s="273">
        <f>IF(H169&gt;計分版!F$13,0,1)</f>
        <v>0</v>
      </c>
      <c r="P169" s="273">
        <f>IF(I169&gt;LARGE(計分版!$G$13:$L$13,1),0,1)</f>
        <v>0</v>
      </c>
      <c r="Q169" s="273">
        <f>IF(J169&gt;LARGE(計分版!$G$13:$L$13,2),0,1)</f>
        <v>0</v>
      </c>
      <c r="S169" s="273">
        <f t="shared" si="5"/>
        <v>0</v>
      </c>
    </row>
    <row r="170" spans="1:19">
      <c r="A170" s="16" t="s">
        <v>473</v>
      </c>
      <c r="B170" s="16" t="s">
        <v>573</v>
      </c>
      <c r="C170" s="58" t="s">
        <v>214</v>
      </c>
      <c r="D170" s="48">
        <v>30</v>
      </c>
      <c r="E170" s="273">
        <v>3</v>
      </c>
      <c r="F170" s="273">
        <v>3</v>
      </c>
      <c r="G170" s="273">
        <v>2</v>
      </c>
      <c r="H170" s="273">
        <v>2</v>
      </c>
      <c r="I170" s="273">
        <v>3</v>
      </c>
      <c r="J170" s="273">
        <v>3</v>
      </c>
      <c r="L170" s="273">
        <f>IF(E170&gt;計分版!C$13,0,1)</f>
        <v>0</v>
      </c>
      <c r="M170" s="273">
        <f>IF(F170&gt;計分版!D$13,0,1)</f>
        <v>0</v>
      </c>
      <c r="N170" s="273">
        <f>IF(G170&gt;計分版!E$13,0,1)</f>
        <v>0</v>
      </c>
      <c r="O170" s="273">
        <f>IF(H170&gt;計分版!F$13,0,1)</f>
        <v>0</v>
      </c>
      <c r="P170" s="273">
        <f>IF(I170&gt;LARGE(計分版!$G$13:$L$13,1),0,1)</f>
        <v>0</v>
      </c>
      <c r="Q170" s="273">
        <f>IF(J170&gt;LARGE(計分版!$G$13:$L$13,2),0,1)</f>
        <v>0</v>
      </c>
      <c r="S170" s="273">
        <f t="shared" si="5"/>
        <v>0</v>
      </c>
    </row>
    <row r="171" spans="1:19">
      <c r="A171" s="16" t="s">
        <v>474</v>
      </c>
      <c r="B171" s="16" t="s">
        <v>574</v>
      </c>
      <c r="C171" s="58" t="s">
        <v>214</v>
      </c>
      <c r="D171" s="48">
        <v>47</v>
      </c>
      <c r="E171" s="273">
        <v>3</v>
      </c>
      <c r="F171" s="273">
        <v>3</v>
      </c>
      <c r="G171" s="273">
        <v>2</v>
      </c>
      <c r="H171" s="273">
        <v>2</v>
      </c>
      <c r="I171" s="273">
        <v>3</v>
      </c>
      <c r="J171" s="273">
        <v>3</v>
      </c>
      <c r="L171" s="273">
        <f>IF(E171&gt;計分版!C$13,0,1)</f>
        <v>0</v>
      </c>
      <c r="M171" s="273">
        <f>IF(F171&gt;計分版!D$13,0,1)</f>
        <v>0</v>
      </c>
      <c r="N171" s="273">
        <f>IF(G171&gt;計分版!E$13,0,1)</f>
        <v>0</v>
      </c>
      <c r="O171" s="273">
        <f>IF(H171&gt;計分版!F$13,0,1)</f>
        <v>0</v>
      </c>
      <c r="P171" s="273">
        <f>IF(I171&gt;LARGE(計分版!$G$13:$L$13,1),0,1)</f>
        <v>0</v>
      </c>
      <c r="Q171" s="273">
        <f>IF(J171&gt;LARGE(計分版!$G$13:$L$13,2),0,1)</f>
        <v>0</v>
      </c>
      <c r="S171" s="273">
        <f t="shared" si="5"/>
        <v>0</v>
      </c>
    </row>
    <row r="172" spans="1:19">
      <c r="A172" s="16" t="s">
        <v>475</v>
      </c>
      <c r="B172" s="16" t="s">
        <v>575</v>
      </c>
      <c r="C172" s="58" t="s">
        <v>214</v>
      </c>
      <c r="D172" s="48">
        <v>22</v>
      </c>
      <c r="E172" s="273">
        <v>3</v>
      </c>
      <c r="F172" s="273">
        <v>3</v>
      </c>
      <c r="G172" s="273">
        <v>2</v>
      </c>
      <c r="H172" s="273">
        <v>2</v>
      </c>
      <c r="I172" s="273">
        <v>3</v>
      </c>
      <c r="J172" s="273">
        <v>3</v>
      </c>
      <c r="L172" s="273">
        <f>IF(E172&gt;計分版!C$13,0,1)</f>
        <v>0</v>
      </c>
      <c r="M172" s="273">
        <f>IF(F172&gt;計分版!D$13,0,1)</f>
        <v>0</v>
      </c>
      <c r="N172" s="273">
        <f>IF(G172&gt;計分版!E$13,0,1)</f>
        <v>0</v>
      </c>
      <c r="O172" s="273">
        <f>IF(H172&gt;計分版!F$13,0,1)</f>
        <v>0</v>
      </c>
      <c r="P172" s="273">
        <f>IF(I172&gt;LARGE(計分版!$G$13:$L$13,1),0,1)</f>
        <v>0</v>
      </c>
      <c r="Q172" s="273">
        <f>IF(J172&gt;LARGE(計分版!$G$13:$L$13,2),0,1)</f>
        <v>0</v>
      </c>
      <c r="S172" s="273">
        <f t="shared" si="5"/>
        <v>0</v>
      </c>
    </row>
    <row r="173" spans="1:19">
      <c r="A173" s="16" t="s">
        <v>476</v>
      </c>
      <c r="B173" s="16" t="s">
        <v>576</v>
      </c>
      <c r="C173" s="58" t="s">
        <v>214</v>
      </c>
      <c r="D173" s="48">
        <v>19</v>
      </c>
      <c r="E173" s="273">
        <v>3</v>
      </c>
      <c r="F173" s="273">
        <v>3</v>
      </c>
      <c r="G173" s="273">
        <v>2</v>
      </c>
      <c r="H173" s="273">
        <v>2</v>
      </c>
      <c r="I173" s="273">
        <v>3</v>
      </c>
      <c r="J173" s="273">
        <v>3</v>
      </c>
      <c r="L173" s="273">
        <f>IF(E173&gt;計分版!C$13,0,1)</f>
        <v>0</v>
      </c>
      <c r="M173" s="273">
        <f>IF(F173&gt;計分版!D$13,0,1)</f>
        <v>0</v>
      </c>
      <c r="N173" s="273">
        <f>IF(G173&gt;計分版!E$13,0,1)</f>
        <v>0</v>
      </c>
      <c r="O173" s="273">
        <f>IF(H173&gt;計分版!F$13,0,1)</f>
        <v>0</v>
      </c>
      <c r="P173" s="273">
        <f>IF(I173&gt;LARGE(計分版!$G$13:$L$13,1),0,1)</f>
        <v>0</v>
      </c>
      <c r="Q173" s="273">
        <f>IF(J173&gt;LARGE(計分版!$G$13:$L$13,2),0,1)</f>
        <v>0</v>
      </c>
      <c r="S173" s="273">
        <f t="shared" si="5"/>
        <v>0</v>
      </c>
    </row>
    <row r="174" spans="1:19">
      <c r="A174" s="16" t="s">
        <v>477</v>
      </c>
      <c r="B174" s="16" t="s">
        <v>577</v>
      </c>
      <c r="C174" s="58" t="s">
        <v>607</v>
      </c>
      <c r="D174" s="48">
        <v>37</v>
      </c>
      <c r="E174" s="273">
        <v>3</v>
      </c>
      <c r="F174" s="273">
        <v>3</v>
      </c>
      <c r="G174" s="273">
        <v>2</v>
      </c>
      <c r="H174" s="273">
        <v>2</v>
      </c>
      <c r="I174" s="273">
        <v>3</v>
      </c>
      <c r="J174" s="273">
        <v>3</v>
      </c>
      <c r="L174" s="273">
        <f>IF(E174&gt;計分版!C$13,0,1)</f>
        <v>0</v>
      </c>
      <c r="M174" s="273">
        <f>IF(F174&gt;計分版!D$13,0,1)</f>
        <v>0</v>
      </c>
      <c r="N174" s="273">
        <f>IF(G174&gt;計分版!E$13,0,1)</f>
        <v>0</v>
      </c>
      <c r="O174" s="273">
        <f>IF(H174&gt;計分版!F$13,0,1)</f>
        <v>0</v>
      </c>
      <c r="P174" s="273">
        <f>IF(I174&gt;LARGE(計分版!$G$13:$L$13,1),0,1)</f>
        <v>0</v>
      </c>
      <c r="Q174" s="273">
        <f>IF(J174&gt;LARGE(計分版!$G$13:$L$13,2),0,1)</f>
        <v>0</v>
      </c>
      <c r="S174" s="273">
        <f t="shared" si="5"/>
        <v>0</v>
      </c>
    </row>
    <row r="175" spans="1:19">
      <c r="A175" s="16" t="s">
        <v>478</v>
      </c>
      <c r="B175" s="16" t="s">
        <v>578</v>
      </c>
      <c r="C175" s="58" t="s">
        <v>214</v>
      </c>
      <c r="D175" s="48">
        <v>32</v>
      </c>
      <c r="E175" s="273">
        <v>3</v>
      </c>
      <c r="F175" s="273">
        <v>3</v>
      </c>
      <c r="G175" s="273">
        <v>2</v>
      </c>
      <c r="H175" s="273">
        <v>2</v>
      </c>
      <c r="I175" s="273">
        <v>3</v>
      </c>
      <c r="J175" s="273">
        <v>3</v>
      </c>
      <c r="L175" s="273">
        <f>IF(E175&gt;計分版!C$13,0,1)</f>
        <v>0</v>
      </c>
      <c r="M175" s="273">
        <f>IF(F175&gt;計分版!D$13,0,1)</f>
        <v>0</v>
      </c>
      <c r="N175" s="273">
        <f>IF(G175&gt;計分版!E$13,0,1)</f>
        <v>0</v>
      </c>
      <c r="O175" s="273">
        <f>IF(H175&gt;計分版!F$13,0,1)</f>
        <v>0</v>
      </c>
      <c r="P175" s="273">
        <f>IF(I175&gt;LARGE(計分版!$G$13:$L$13,1),0,1)</f>
        <v>0</v>
      </c>
      <c r="Q175" s="273">
        <f>IF(J175&gt;LARGE(計分版!$G$13:$L$13,2),0,1)</f>
        <v>0</v>
      </c>
      <c r="S175" s="273">
        <f t="shared" si="5"/>
        <v>0</v>
      </c>
    </row>
    <row r="176" spans="1:19">
      <c r="A176" s="16" t="s">
        <v>479</v>
      </c>
      <c r="B176" s="16" t="s">
        <v>579</v>
      </c>
      <c r="C176" s="58" t="s">
        <v>607</v>
      </c>
      <c r="D176" s="48">
        <v>41</v>
      </c>
      <c r="E176" s="273">
        <v>3</v>
      </c>
      <c r="F176" s="273">
        <v>3</v>
      </c>
      <c r="G176" s="273">
        <v>2</v>
      </c>
      <c r="H176" s="273">
        <v>2</v>
      </c>
      <c r="I176" s="273">
        <v>3</v>
      </c>
      <c r="J176" s="273">
        <v>3</v>
      </c>
      <c r="L176" s="273">
        <f>IF(E176&gt;計分版!C$13,0,1)</f>
        <v>0</v>
      </c>
      <c r="M176" s="273">
        <f>IF(F176&gt;計分版!D$13,0,1)</f>
        <v>0</v>
      </c>
      <c r="N176" s="273">
        <f>IF(G176&gt;計分版!E$13,0,1)</f>
        <v>0</v>
      </c>
      <c r="O176" s="273">
        <f>IF(H176&gt;計分版!F$13,0,1)</f>
        <v>0</v>
      </c>
      <c r="P176" s="273">
        <f>IF(I176&gt;LARGE(計分版!$G$13:$L$13,1),0,1)</f>
        <v>0</v>
      </c>
      <c r="Q176" s="273">
        <f>IF(J176&gt;LARGE(計分版!$G$13:$L$13,2),0,1)</f>
        <v>0</v>
      </c>
      <c r="S176" s="273">
        <f t="shared" si="5"/>
        <v>0</v>
      </c>
    </row>
    <row r="177" spans="1:26">
      <c r="A177" s="16" t="s">
        <v>480</v>
      </c>
      <c r="B177" s="16" t="s">
        <v>580</v>
      </c>
      <c r="C177" s="58" t="s">
        <v>214</v>
      </c>
      <c r="D177" s="48">
        <v>110</v>
      </c>
      <c r="E177" s="273">
        <v>3</v>
      </c>
      <c r="F177" s="273">
        <v>3</v>
      </c>
      <c r="G177" s="273">
        <v>2</v>
      </c>
      <c r="H177" s="273">
        <v>2</v>
      </c>
      <c r="I177" s="273">
        <v>3</v>
      </c>
      <c r="J177" s="273">
        <v>3</v>
      </c>
      <c r="L177" s="273">
        <f>IF(E177&gt;計分版!C$13,0,1)</f>
        <v>0</v>
      </c>
      <c r="M177" s="273">
        <f>IF(F177&gt;計分版!D$13,0,1)</f>
        <v>0</v>
      </c>
      <c r="N177" s="273">
        <f>IF(G177&gt;計分版!E$13,0,1)</f>
        <v>0</v>
      </c>
      <c r="O177" s="273">
        <f>IF(H177&gt;計分版!F$13,0,1)</f>
        <v>0</v>
      </c>
      <c r="P177" s="273">
        <f>IF(I177&gt;LARGE(計分版!$G$13:$L$13,1),0,1)</f>
        <v>0</v>
      </c>
      <c r="Q177" s="273">
        <f>IF(J177&gt;LARGE(計分版!$G$13:$L$13,2),0,1)</f>
        <v>0</v>
      </c>
      <c r="S177" s="273">
        <f t="shared" si="5"/>
        <v>0</v>
      </c>
    </row>
    <row r="178" spans="1:26">
      <c r="A178" s="16" t="s">
        <v>481</v>
      </c>
      <c r="B178" s="16" t="s">
        <v>581</v>
      </c>
      <c r="C178" s="58" t="s">
        <v>214</v>
      </c>
      <c r="D178" s="48">
        <v>45</v>
      </c>
      <c r="E178" s="273">
        <v>3</v>
      </c>
      <c r="F178" s="273">
        <v>3</v>
      </c>
      <c r="G178" s="273">
        <v>2</v>
      </c>
      <c r="H178" s="273">
        <v>2</v>
      </c>
      <c r="I178" s="273">
        <v>3</v>
      </c>
      <c r="J178" s="273">
        <v>3</v>
      </c>
      <c r="L178" s="273">
        <f>IF(E178&gt;計分版!C$13,0,1)</f>
        <v>0</v>
      </c>
      <c r="M178" s="273">
        <f>IF(F178&gt;計分版!D$13,0,1)</f>
        <v>0</v>
      </c>
      <c r="N178" s="273">
        <f>IF(G178&gt;計分版!E$13,0,1)</f>
        <v>0</v>
      </c>
      <c r="O178" s="273">
        <f>IF(H178&gt;計分版!F$13,0,1)</f>
        <v>0</v>
      </c>
      <c r="P178" s="273">
        <f>IF(I178&gt;LARGE(計分版!$G$13:$L$13,1),0,1)</f>
        <v>0</v>
      </c>
      <c r="Q178" s="273">
        <f>IF(J178&gt;LARGE(計分版!$G$13:$L$13,2),0,1)</f>
        <v>0</v>
      </c>
      <c r="S178" s="273">
        <f t="shared" si="5"/>
        <v>0</v>
      </c>
    </row>
    <row r="179" spans="1:26">
      <c r="A179" s="16" t="s">
        <v>482</v>
      </c>
      <c r="B179" s="16" t="s">
        <v>582</v>
      </c>
      <c r="C179" s="58" t="s">
        <v>214</v>
      </c>
      <c r="D179" s="48">
        <v>58</v>
      </c>
      <c r="E179" s="273">
        <v>3</v>
      </c>
      <c r="F179" s="273">
        <v>3</v>
      </c>
      <c r="G179" s="273">
        <v>2</v>
      </c>
      <c r="H179" s="273">
        <v>2</v>
      </c>
      <c r="I179" s="273">
        <v>3</v>
      </c>
      <c r="J179" s="273">
        <v>3</v>
      </c>
      <c r="L179" s="273">
        <f>IF(E179&gt;計分版!C$13,0,1)</f>
        <v>0</v>
      </c>
      <c r="M179" s="273">
        <f>IF(F179&gt;計分版!D$13,0,1)</f>
        <v>0</v>
      </c>
      <c r="N179" s="273">
        <f>IF(G179&gt;計分版!E$13,0,1)</f>
        <v>0</v>
      </c>
      <c r="O179" s="273">
        <f>IF(H179&gt;計分版!F$13,0,1)</f>
        <v>0</v>
      </c>
      <c r="P179" s="273">
        <f>IF(I179&gt;LARGE(計分版!$G$13:$L$13,1),0,1)</f>
        <v>0</v>
      </c>
      <c r="Q179" s="273">
        <f>IF(J179&gt;LARGE(計分版!$G$13:$L$13,2),0,1)</f>
        <v>0</v>
      </c>
      <c r="S179" s="273">
        <f t="shared" si="5"/>
        <v>0</v>
      </c>
    </row>
    <row r="180" spans="1:26">
      <c r="A180" s="16" t="s">
        <v>483</v>
      </c>
      <c r="B180" s="16" t="s">
        <v>583</v>
      </c>
      <c r="C180" s="58" t="s">
        <v>214</v>
      </c>
      <c r="D180" s="48">
        <v>108</v>
      </c>
      <c r="E180" s="273">
        <v>3</v>
      </c>
      <c r="F180" s="273">
        <v>3</v>
      </c>
      <c r="G180" s="273">
        <v>2</v>
      </c>
      <c r="H180" s="273">
        <v>2</v>
      </c>
      <c r="I180" s="273">
        <v>3</v>
      </c>
      <c r="J180" s="273">
        <v>3</v>
      </c>
      <c r="L180" s="273">
        <f>IF(E180&gt;計分版!C$13,0,1)</f>
        <v>0</v>
      </c>
      <c r="M180" s="273">
        <f>IF(F180&gt;計分版!D$13,0,1)</f>
        <v>0</v>
      </c>
      <c r="N180" s="273">
        <f>IF(G180&gt;計分版!E$13,0,1)</f>
        <v>0</v>
      </c>
      <c r="O180" s="273">
        <f>IF(H180&gt;計分版!F$13,0,1)</f>
        <v>0</v>
      </c>
      <c r="P180" s="273">
        <f>IF(I180&gt;LARGE(計分版!$G$13:$L$13,1),0,1)</f>
        <v>0</v>
      </c>
      <c r="Q180" s="273">
        <f>IF(J180&gt;LARGE(計分版!$G$13:$L$13,2),0,1)</f>
        <v>0</v>
      </c>
      <c r="S180" s="273">
        <f t="shared" si="5"/>
        <v>0</v>
      </c>
    </row>
    <row r="181" spans="1:26">
      <c r="A181" s="16" t="s">
        <v>484</v>
      </c>
      <c r="B181" s="16" t="s">
        <v>584</v>
      </c>
      <c r="C181" s="58" t="s">
        <v>214</v>
      </c>
      <c r="D181" s="273">
        <v>26</v>
      </c>
      <c r="E181" s="273">
        <v>3</v>
      </c>
      <c r="F181" s="273">
        <v>3</v>
      </c>
      <c r="G181" s="273">
        <v>2</v>
      </c>
      <c r="H181" s="273">
        <v>2</v>
      </c>
      <c r="I181" s="273">
        <v>3</v>
      </c>
      <c r="J181" s="273">
        <v>3</v>
      </c>
      <c r="L181" s="273">
        <f>IF(E181&gt;計分版!C$13,0,1)</f>
        <v>0</v>
      </c>
      <c r="M181" s="273">
        <f>IF(F181&gt;計分版!D$13,0,1)</f>
        <v>0</v>
      </c>
      <c r="N181" s="273">
        <f>IF(G181&gt;計分版!E$13,0,1)</f>
        <v>0</v>
      </c>
      <c r="O181" s="273">
        <f>IF(H181&gt;計分版!F$13,0,1)</f>
        <v>0</v>
      </c>
      <c r="P181" s="273">
        <f>IF(I181&gt;LARGE(計分版!$G$13:$L$13,1),0,1)</f>
        <v>0</v>
      </c>
      <c r="Q181" s="273">
        <f>IF(J181&gt;LARGE(計分版!$G$13:$L$13,2),0,1)</f>
        <v>0</v>
      </c>
      <c r="S181" s="273">
        <f t="shared" si="5"/>
        <v>0</v>
      </c>
    </row>
    <row r="182" spans="1:26">
      <c r="A182" s="16" t="s">
        <v>485</v>
      </c>
      <c r="B182" s="16" t="s">
        <v>585</v>
      </c>
      <c r="C182" s="58" t="s">
        <v>214</v>
      </c>
      <c r="D182" s="273">
        <v>25</v>
      </c>
      <c r="E182" s="273">
        <v>3</v>
      </c>
      <c r="F182" s="273">
        <v>3</v>
      </c>
      <c r="G182" s="273">
        <v>2</v>
      </c>
      <c r="H182" s="273">
        <v>2</v>
      </c>
      <c r="I182" s="273">
        <v>3</v>
      </c>
      <c r="J182" s="273">
        <v>3</v>
      </c>
      <c r="L182" s="273">
        <f>IF(E182&gt;計分版!C$13,0,1)</f>
        <v>0</v>
      </c>
      <c r="M182" s="273">
        <f>IF(F182&gt;計分版!D$13,0,1)</f>
        <v>0</v>
      </c>
      <c r="N182" s="273">
        <f>IF(G182&gt;計分版!E$13,0,1)</f>
        <v>0</v>
      </c>
      <c r="O182" s="273">
        <f>IF(H182&gt;計分版!F$13,0,1)</f>
        <v>0</v>
      </c>
      <c r="P182" s="273">
        <f>IF(I182&gt;LARGE(計分版!$G$13:$L$13,1),0,1)</f>
        <v>0</v>
      </c>
      <c r="Q182" s="273">
        <f>IF(J182&gt;LARGE(計分版!$G$13:$L$13,2),0,1)</f>
        <v>0</v>
      </c>
      <c r="S182" s="273">
        <f t="shared" si="5"/>
        <v>0</v>
      </c>
    </row>
    <row r="183" spans="1:26">
      <c r="A183" s="16" t="s">
        <v>486</v>
      </c>
      <c r="B183" s="16" t="s">
        <v>586</v>
      </c>
      <c r="C183" s="58" t="s">
        <v>214</v>
      </c>
      <c r="D183" s="273">
        <v>26</v>
      </c>
      <c r="E183" s="273">
        <v>3</v>
      </c>
      <c r="F183" s="273">
        <v>3</v>
      </c>
      <c r="G183" s="273">
        <v>2</v>
      </c>
      <c r="H183" s="273">
        <v>2</v>
      </c>
      <c r="I183" s="273">
        <v>3</v>
      </c>
      <c r="J183" s="273">
        <v>3</v>
      </c>
      <c r="L183" s="273">
        <f>IF(E183&gt;計分版!C$13,0,1)</f>
        <v>0</v>
      </c>
      <c r="M183" s="273">
        <f>IF(F183&gt;計分版!D$13,0,1)</f>
        <v>0</v>
      </c>
      <c r="N183" s="273">
        <f>IF(G183&gt;計分版!E$13,0,1)</f>
        <v>0</v>
      </c>
      <c r="O183" s="273">
        <f>IF(H183&gt;計分版!F$13,0,1)</f>
        <v>0</v>
      </c>
      <c r="P183" s="273">
        <f>IF(I183&gt;LARGE(計分版!$G$13:$L$13,1),0,1)</f>
        <v>0</v>
      </c>
      <c r="Q183" s="273">
        <f>IF(J183&gt;LARGE(計分版!$G$13:$L$13,2),0,1)</f>
        <v>0</v>
      </c>
      <c r="S183" s="273">
        <f t="shared" si="5"/>
        <v>0</v>
      </c>
    </row>
    <row r="184" spans="1:26">
      <c r="E184" s="16"/>
      <c r="Q184" s="273"/>
      <c r="R184" s="273"/>
      <c r="Y184" s="16"/>
      <c r="Z184" s="16"/>
    </row>
    <row r="185" spans="1:26">
      <c r="A185" s="16" t="s">
        <v>487</v>
      </c>
      <c r="B185" s="16" t="s">
        <v>596</v>
      </c>
      <c r="C185" s="58" t="s">
        <v>607</v>
      </c>
      <c r="D185" s="273">
        <v>51</v>
      </c>
      <c r="E185" s="273">
        <v>2</v>
      </c>
      <c r="F185" s="273">
        <v>2</v>
      </c>
      <c r="G185" s="273">
        <v>2</v>
      </c>
      <c r="H185" s="273">
        <v>2</v>
      </c>
      <c r="I185" s="273">
        <v>2</v>
      </c>
      <c r="L185" s="273">
        <f>IF(E185&gt;計分版!C$13,0,1)</f>
        <v>0</v>
      </c>
      <c r="M185" s="273">
        <f>IF(F185&gt;計分版!D$13,0,1)</f>
        <v>0</v>
      </c>
      <c r="N185" s="273">
        <f>IF(G185&gt;LARGE(計分版!$E$13:$L$13,1),0,1)</f>
        <v>0</v>
      </c>
      <c r="O185" s="273">
        <f>IF(H185&gt;LARGE(計分版!$E$13:$L$13,2),0,1)</f>
        <v>0</v>
      </c>
      <c r="P185" s="273">
        <f>IF(I185&gt;LARGE(計分版!$E$13:$L$13,3),0,1)</f>
        <v>0</v>
      </c>
      <c r="S185" s="273">
        <f>L185*M185*N185*O185*P185</f>
        <v>0</v>
      </c>
    </row>
    <row r="186" spans="1:26">
      <c r="A186" s="16" t="s">
        <v>488</v>
      </c>
      <c r="B186" s="16" t="s">
        <v>597</v>
      </c>
      <c r="C186" s="58" t="s">
        <v>607</v>
      </c>
      <c r="D186" s="273">
        <v>75</v>
      </c>
      <c r="E186" s="273">
        <v>2</v>
      </c>
      <c r="F186" s="273">
        <v>2</v>
      </c>
      <c r="G186" s="273">
        <v>2</v>
      </c>
      <c r="H186" s="273">
        <v>2</v>
      </c>
      <c r="I186" s="273">
        <v>2</v>
      </c>
      <c r="L186" s="273">
        <f>IF(E186&gt;計分版!C$13,0,1)</f>
        <v>0</v>
      </c>
      <c r="M186" s="273">
        <f>IF(F186&gt;計分版!D$13,0,1)</f>
        <v>0</v>
      </c>
      <c r="N186" s="273">
        <f>IF(G186&gt;LARGE(計分版!$E$13:$L$13,1),0,1)</f>
        <v>0</v>
      </c>
      <c r="O186" s="273">
        <f>IF(H186&gt;LARGE(計分版!$E$13:$L$13,2),0,1)</f>
        <v>0</v>
      </c>
      <c r="P186" s="273">
        <f>IF(I186&gt;LARGE(計分版!$E$13:$L$13,3),0,1)</f>
        <v>0</v>
      </c>
      <c r="S186" s="273">
        <f t="shared" ref="S186:S194" si="6">L186*M186*N186*O186*P186</f>
        <v>0</v>
      </c>
    </row>
    <row r="187" spans="1:26">
      <c r="A187" s="16" t="s">
        <v>489</v>
      </c>
      <c r="B187" s="16" t="s">
        <v>598</v>
      </c>
      <c r="C187" s="58" t="s">
        <v>607</v>
      </c>
      <c r="D187" s="273">
        <v>40</v>
      </c>
      <c r="E187" s="273">
        <v>2</v>
      </c>
      <c r="F187" s="273">
        <v>2</v>
      </c>
      <c r="G187" s="273">
        <v>2</v>
      </c>
      <c r="H187" s="273">
        <v>2</v>
      </c>
      <c r="I187" s="273">
        <v>2</v>
      </c>
      <c r="L187" s="273">
        <f>IF(E187&gt;計分版!C$13,0,1)</f>
        <v>0</v>
      </c>
      <c r="M187" s="273">
        <f>IF(F187&gt;計分版!D$13,0,1)</f>
        <v>0</v>
      </c>
      <c r="N187" s="273">
        <f>IF(G187&gt;LARGE(計分版!$E$13:$L$13,1),0,1)</f>
        <v>0</v>
      </c>
      <c r="O187" s="273">
        <f>IF(H187&gt;LARGE(計分版!$E$13:$L$13,2),0,1)</f>
        <v>0</v>
      </c>
      <c r="P187" s="273">
        <f>IF(I187&gt;LARGE(計分版!$E$13:$L$13,3),0,1)</f>
        <v>0</v>
      </c>
      <c r="S187" s="273">
        <f t="shared" si="6"/>
        <v>0</v>
      </c>
    </row>
    <row r="188" spans="1:26">
      <c r="A188" s="16" t="s">
        <v>490</v>
      </c>
      <c r="B188" s="16" t="s">
        <v>599</v>
      </c>
      <c r="C188" s="58" t="s">
        <v>607</v>
      </c>
      <c r="D188" s="273">
        <v>48</v>
      </c>
      <c r="E188" s="273">
        <v>2</v>
      </c>
      <c r="F188" s="273">
        <v>2</v>
      </c>
      <c r="G188" s="273">
        <v>2</v>
      </c>
      <c r="H188" s="273">
        <v>2</v>
      </c>
      <c r="I188" s="273">
        <v>2</v>
      </c>
      <c r="L188" s="273">
        <f>IF(E188&gt;計分版!C$13,0,1)</f>
        <v>0</v>
      </c>
      <c r="M188" s="273">
        <f>IF(F188&gt;計分版!D$13,0,1)</f>
        <v>0</v>
      </c>
      <c r="N188" s="273">
        <f>IF(G188&gt;LARGE(計分版!$E$13:$L$13,1),0,1)</f>
        <v>0</v>
      </c>
      <c r="O188" s="273">
        <f>IF(H188&gt;LARGE(計分版!$E$13:$L$13,2),0,1)</f>
        <v>0</v>
      </c>
      <c r="P188" s="273">
        <f>IF(I188&gt;LARGE(計分版!$E$13:$L$13,3),0,1)</f>
        <v>0</v>
      </c>
      <c r="S188" s="273">
        <f t="shared" si="6"/>
        <v>0</v>
      </c>
    </row>
    <row r="189" spans="1:26">
      <c r="A189" s="16" t="s">
        <v>491</v>
      </c>
      <c r="B189" s="16" t="s">
        <v>600</v>
      </c>
      <c r="C189" s="58" t="s">
        <v>607</v>
      </c>
      <c r="D189" s="273">
        <v>73</v>
      </c>
      <c r="E189" s="273">
        <v>2</v>
      </c>
      <c r="F189" s="273">
        <v>2</v>
      </c>
      <c r="G189" s="273">
        <v>2</v>
      </c>
      <c r="H189" s="273">
        <v>2</v>
      </c>
      <c r="I189" s="273">
        <v>2</v>
      </c>
      <c r="L189" s="273">
        <f>IF(E189&gt;計分版!C$13,0,1)</f>
        <v>0</v>
      </c>
      <c r="M189" s="273">
        <f>IF(F189&gt;計分版!D$13,0,1)</f>
        <v>0</v>
      </c>
      <c r="N189" s="273">
        <f>IF(G189&gt;LARGE(計分版!$E$13:$L$13,1),0,1)</f>
        <v>0</v>
      </c>
      <c r="O189" s="273">
        <f>IF(H189&gt;LARGE(計分版!$E$13:$L$13,2),0,1)</f>
        <v>0</v>
      </c>
      <c r="P189" s="273">
        <f>IF(I189&gt;LARGE(計分版!$E$13:$L$13,3),0,1)</f>
        <v>0</v>
      </c>
      <c r="S189" s="273">
        <f t="shared" si="6"/>
        <v>0</v>
      </c>
    </row>
    <row r="190" spans="1:26">
      <c r="A190" s="16" t="s">
        <v>492</v>
      </c>
      <c r="B190" s="16" t="s">
        <v>601</v>
      </c>
      <c r="C190" s="58" t="s">
        <v>607</v>
      </c>
      <c r="D190" s="273">
        <v>53</v>
      </c>
      <c r="E190" s="273">
        <v>2</v>
      </c>
      <c r="F190" s="273">
        <v>2</v>
      </c>
      <c r="G190" s="273">
        <v>2</v>
      </c>
      <c r="H190" s="273">
        <v>2</v>
      </c>
      <c r="I190" s="273">
        <v>2</v>
      </c>
      <c r="L190" s="273">
        <f>IF(E190&gt;計分版!C$13,0,1)</f>
        <v>0</v>
      </c>
      <c r="M190" s="273">
        <f>IF(F190&gt;計分版!D$13,0,1)</f>
        <v>0</v>
      </c>
      <c r="N190" s="273">
        <f>IF(G190&gt;LARGE(計分版!$E$13:$L$13,1),0,1)</f>
        <v>0</v>
      </c>
      <c r="O190" s="273">
        <f>IF(H190&gt;LARGE(計分版!$E$13:$L$13,2),0,1)</f>
        <v>0</v>
      </c>
      <c r="P190" s="273">
        <f>IF(I190&gt;LARGE(計分版!$E$13:$L$13,3),0,1)</f>
        <v>0</v>
      </c>
      <c r="S190" s="273">
        <f t="shared" si="6"/>
        <v>0</v>
      </c>
    </row>
    <row r="191" spans="1:26">
      <c r="A191" s="16" t="s">
        <v>493</v>
      </c>
      <c r="B191" s="16" t="s">
        <v>602</v>
      </c>
      <c r="C191" s="58" t="s">
        <v>607</v>
      </c>
      <c r="D191" s="273">
        <v>88</v>
      </c>
      <c r="E191" s="273">
        <v>2</v>
      </c>
      <c r="F191" s="273">
        <v>2</v>
      </c>
      <c r="G191" s="273">
        <v>2</v>
      </c>
      <c r="H191" s="273">
        <v>2</v>
      </c>
      <c r="I191" s="273">
        <v>2</v>
      </c>
      <c r="L191" s="273">
        <f>IF(E191&gt;計分版!C$13,0,1)</f>
        <v>0</v>
      </c>
      <c r="M191" s="273">
        <f>IF(F191&gt;計分版!D$13,0,1)</f>
        <v>0</v>
      </c>
      <c r="N191" s="273">
        <f>IF(G191&gt;LARGE(計分版!$E$13:$L$13,1),0,1)</f>
        <v>0</v>
      </c>
      <c r="O191" s="273">
        <f>IF(H191&gt;LARGE(計分版!$E$13:$L$13,2),0,1)</f>
        <v>0</v>
      </c>
      <c r="P191" s="273">
        <f>IF(I191&gt;LARGE(計分版!$E$13:$L$13,3),0,1)</f>
        <v>0</v>
      </c>
      <c r="S191" s="273">
        <f t="shared" si="6"/>
        <v>0</v>
      </c>
    </row>
    <row r="192" spans="1:26">
      <c r="A192" s="16" t="s">
        <v>494</v>
      </c>
      <c r="B192" s="16" t="s">
        <v>603</v>
      </c>
      <c r="C192" s="58" t="s">
        <v>607</v>
      </c>
      <c r="D192" s="273">
        <v>71</v>
      </c>
      <c r="E192" s="273">
        <v>2</v>
      </c>
      <c r="F192" s="273">
        <v>2</v>
      </c>
      <c r="G192" s="273">
        <v>2</v>
      </c>
      <c r="H192" s="273">
        <v>2</v>
      </c>
      <c r="I192" s="273">
        <v>2</v>
      </c>
      <c r="L192" s="273">
        <f>IF(E192&gt;計分版!C$13,0,1)</f>
        <v>0</v>
      </c>
      <c r="M192" s="273">
        <f>IF(F192&gt;計分版!D$13,0,1)</f>
        <v>0</v>
      </c>
      <c r="N192" s="273">
        <f>IF(G192&gt;LARGE(計分版!$E$13:$L$13,1),0,1)</f>
        <v>0</v>
      </c>
      <c r="O192" s="273">
        <f>IF(H192&gt;LARGE(計分版!$E$13:$L$13,2),0,1)</f>
        <v>0</v>
      </c>
      <c r="P192" s="273">
        <f>IF(I192&gt;LARGE(計分版!$E$13:$L$13,3),0,1)</f>
        <v>0</v>
      </c>
      <c r="S192" s="273">
        <f t="shared" si="6"/>
        <v>0</v>
      </c>
    </row>
    <row r="193" spans="1:19">
      <c r="A193" s="16" t="s">
        <v>495</v>
      </c>
      <c r="B193" s="16" t="s">
        <v>604</v>
      </c>
      <c r="C193" s="58" t="s">
        <v>607</v>
      </c>
      <c r="D193" s="273">
        <v>43</v>
      </c>
      <c r="E193" s="273">
        <v>2</v>
      </c>
      <c r="F193" s="273">
        <v>2</v>
      </c>
      <c r="G193" s="273">
        <v>2</v>
      </c>
      <c r="H193" s="273">
        <v>2</v>
      </c>
      <c r="I193" s="273">
        <v>2</v>
      </c>
      <c r="L193" s="273">
        <f>IF(E193&gt;計分版!C$13,0,1)</f>
        <v>0</v>
      </c>
      <c r="M193" s="273">
        <f>IF(F193&gt;計分版!D$13,0,1)</f>
        <v>0</v>
      </c>
      <c r="N193" s="273">
        <f>IF(G193&gt;LARGE(計分版!$E$13:$L$13,1),0,1)</f>
        <v>0</v>
      </c>
      <c r="O193" s="273">
        <f>IF(H193&gt;LARGE(計分版!$E$13:$L$13,2),0,1)</f>
        <v>0</v>
      </c>
      <c r="P193" s="273">
        <f>IF(I193&gt;LARGE(計分版!$E$13:$L$13,3),0,1)</f>
        <v>0</v>
      </c>
      <c r="S193" s="273">
        <f t="shared" si="6"/>
        <v>0</v>
      </c>
    </row>
    <row r="194" spans="1:19">
      <c r="A194" s="16" t="s">
        <v>496</v>
      </c>
      <c r="B194" s="16" t="s">
        <v>605</v>
      </c>
      <c r="C194" s="58" t="s">
        <v>607</v>
      </c>
      <c r="D194" s="273">
        <v>55</v>
      </c>
      <c r="E194" s="273">
        <v>2</v>
      </c>
      <c r="F194" s="273">
        <v>2</v>
      </c>
      <c r="G194" s="273">
        <v>2</v>
      </c>
      <c r="H194" s="273">
        <v>2</v>
      </c>
      <c r="I194" s="273">
        <v>2</v>
      </c>
      <c r="L194" s="273">
        <f>IF(E194&gt;計分版!C$13,0,1)</f>
        <v>0</v>
      </c>
      <c r="M194" s="273">
        <f>IF(F194&gt;計分版!D$13,0,1)</f>
        <v>0</v>
      </c>
      <c r="N194" s="273">
        <f>IF(G194&gt;LARGE(計分版!$E$13:$L$13,1),0,1)</f>
        <v>0</v>
      </c>
      <c r="O194" s="273">
        <f>IF(H194&gt;LARGE(計分版!$E$13:$L$13,2),0,1)</f>
        <v>0</v>
      </c>
      <c r="P194" s="273">
        <f>IF(I194&gt;LARGE(計分版!$E$13:$L$13,3),0,1)</f>
        <v>0</v>
      </c>
      <c r="S194" s="273">
        <f t="shared" si="6"/>
        <v>0</v>
      </c>
    </row>
    <row r="196" spans="1:19">
      <c r="A196" s="42" t="s">
        <v>961</v>
      </c>
      <c r="B196" s="42" t="s">
        <v>400</v>
      </c>
      <c r="C196" s="42" t="s">
        <v>229</v>
      </c>
      <c r="D196" s="56" t="s">
        <v>394</v>
      </c>
      <c r="E196" s="56" t="s">
        <v>405</v>
      </c>
      <c r="F196" s="56" t="s">
        <v>406</v>
      </c>
      <c r="G196" s="56" t="s">
        <v>407</v>
      </c>
      <c r="H196" s="56" t="s">
        <v>408</v>
      </c>
      <c r="I196" s="56" t="s">
        <v>409</v>
      </c>
      <c r="J196" s="56"/>
    </row>
    <row r="197" spans="1:19">
      <c r="A197" s="16" t="s">
        <v>915</v>
      </c>
      <c r="B197" s="16" t="s">
        <v>916</v>
      </c>
      <c r="C197" s="58" t="s">
        <v>214</v>
      </c>
      <c r="D197" s="273">
        <v>82</v>
      </c>
      <c r="E197" s="88">
        <v>5</v>
      </c>
      <c r="F197" s="88">
        <v>3</v>
      </c>
      <c r="G197" s="88">
        <v>2</v>
      </c>
      <c r="H197" s="88">
        <v>2</v>
      </c>
      <c r="I197" s="88">
        <v>2</v>
      </c>
      <c r="L197" s="16">
        <f>IF(E197&gt;計分版!C$13,0,1)</f>
        <v>0</v>
      </c>
      <c r="M197" s="16">
        <f>IF(F197&gt;計分版!D$13,0,1)</f>
        <v>0</v>
      </c>
      <c r="N197" s="16">
        <f>IF(G197&gt;計分版!E$13,0,1)</f>
        <v>0</v>
      </c>
      <c r="O197" s="16">
        <f>IF(H197&gt;計分版!F$13,0,1)</f>
        <v>0</v>
      </c>
      <c r="P197" s="16">
        <f>IF(I197&gt;LARGE(計分版!$G$13:$L$13,1),0,1)</f>
        <v>0</v>
      </c>
      <c r="S197" s="273">
        <f t="shared" ref="S197:S219" si="7">L197*M197*N197*O197*P197</f>
        <v>0</v>
      </c>
    </row>
    <row r="198" spans="1:19">
      <c r="A198" s="16" t="s">
        <v>917</v>
      </c>
      <c r="B198" s="16" t="s">
        <v>918</v>
      </c>
      <c r="C198" s="58" t="s">
        <v>214</v>
      </c>
      <c r="D198" s="273">
        <v>20</v>
      </c>
      <c r="E198" s="274">
        <v>3</v>
      </c>
      <c r="F198" s="274">
        <v>5</v>
      </c>
      <c r="G198" s="274">
        <v>2</v>
      </c>
      <c r="H198" s="274">
        <v>2</v>
      </c>
      <c r="I198" s="274">
        <v>2</v>
      </c>
      <c r="L198" s="16">
        <f>IF(E198&gt;計分版!C$13,0,1)</f>
        <v>0</v>
      </c>
      <c r="M198" s="16">
        <f>IF(F198&gt;計分版!D$13,0,1)</f>
        <v>0</v>
      </c>
      <c r="N198" s="16">
        <f>IF(G198&gt;計分版!E$13,0,1)</f>
        <v>0</v>
      </c>
      <c r="O198" s="16">
        <f>IF(H198&gt;計分版!F$13,0,1)</f>
        <v>0</v>
      </c>
      <c r="P198" s="16">
        <f>IF(I198&gt;LARGE(計分版!$G$13:$L$13,1),0,1)</f>
        <v>0</v>
      </c>
      <c r="S198" s="273">
        <f t="shared" si="7"/>
        <v>0</v>
      </c>
    </row>
    <row r="199" spans="1:19">
      <c r="A199" s="16" t="s">
        <v>919</v>
      </c>
      <c r="B199" s="16" t="s">
        <v>920</v>
      </c>
      <c r="C199" s="58" t="s">
        <v>214</v>
      </c>
      <c r="D199" s="273">
        <v>45</v>
      </c>
      <c r="E199" s="88">
        <v>3</v>
      </c>
      <c r="F199" s="88">
        <v>3</v>
      </c>
      <c r="G199" s="88">
        <v>2</v>
      </c>
      <c r="H199" s="88">
        <v>2</v>
      </c>
      <c r="I199" s="88">
        <v>2</v>
      </c>
      <c r="L199" s="16">
        <f>IF(E199&gt;計分版!C$13,0,1)</f>
        <v>0</v>
      </c>
      <c r="M199" s="16">
        <f>IF(F199&gt;計分版!D$13,0,1)</f>
        <v>0</v>
      </c>
      <c r="N199" s="16">
        <f>IF(G199&gt;計分版!E$13,0,1)</f>
        <v>0</v>
      </c>
      <c r="O199" s="16">
        <f>IF(H199&gt;計分版!F$13,0,1)</f>
        <v>0</v>
      </c>
      <c r="P199" s="16">
        <f>IF(I199&gt;LARGE(計分版!$G$13:$L$13,1),0,1)</f>
        <v>0</v>
      </c>
      <c r="S199" s="273">
        <f t="shared" si="7"/>
        <v>0</v>
      </c>
    </row>
    <row r="200" spans="1:19">
      <c r="A200" s="16" t="s">
        <v>921</v>
      </c>
      <c r="B200" s="16" t="s">
        <v>922</v>
      </c>
      <c r="C200" s="58" t="s">
        <v>214</v>
      </c>
      <c r="D200" s="273">
        <v>70</v>
      </c>
      <c r="E200" s="274">
        <v>3</v>
      </c>
      <c r="F200" s="274">
        <v>3</v>
      </c>
      <c r="G200" s="274">
        <v>3</v>
      </c>
      <c r="H200" s="274">
        <v>2</v>
      </c>
      <c r="I200" s="274">
        <v>2</v>
      </c>
      <c r="L200" s="16">
        <f>IF(E200&gt;計分版!C$13,0,1)</f>
        <v>0</v>
      </c>
      <c r="M200" s="16">
        <f>IF(F200&gt;計分版!D$13,0,1)</f>
        <v>0</v>
      </c>
      <c r="N200" s="16">
        <f>IF(G200&gt;計分版!E$13,0,1)</f>
        <v>0</v>
      </c>
      <c r="O200" s="16">
        <f>IF(H200&gt;計分版!F$13,0,1)</f>
        <v>0</v>
      </c>
      <c r="P200" s="16">
        <f>IF(AND(計分版!$E$8&gt;3,計分版!$G$8&gt;2),1,IF(計分版!$E$8&gt;5,2,0))</f>
        <v>0</v>
      </c>
      <c r="S200" s="273">
        <f t="shared" si="7"/>
        <v>0</v>
      </c>
    </row>
    <row r="201" spans="1:19">
      <c r="A201" s="16" t="s">
        <v>923</v>
      </c>
      <c r="B201" s="16" t="s">
        <v>924</v>
      </c>
      <c r="C201" s="58" t="s">
        <v>214</v>
      </c>
      <c r="D201" s="273">
        <v>31</v>
      </c>
      <c r="E201" s="88">
        <v>3</v>
      </c>
      <c r="F201" s="88">
        <v>3</v>
      </c>
      <c r="G201" s="88">
        <v>2</v>
      </c>
      <c r="H201" s="88">
        <v>2</v>
      </c>
      <c r="I201" s="88">
        <v>2</v>
      </c>
      <c r="L201" s="16">
        <f>IF(E201&gt;計分版!C$13,0,1)</f>
        <v>0</v>
      </c>
      <c r="M201" s="16">
        <f>IF(F201&gt;計分版!D$13,0,1)</f>
        <v>0</v>
      </c>
      <c r="N201" s="16">
        <f>IF(G201&gt;計分版!E$13,0,1)</f>
        <v>0</v>
      </c>
      <c r="O201" s="16">
        <f>IF(H201&gt;計分版!F$13,0,1)</f>
        <v>0</v>
      </c>
      <c r="P201" s="16">
        <f>IF(I201&gt;LARGE(計分版!$G$13:$L$13,1),0,1)</f>
        <v>0</v>
      </c>
      <c r="S201" s="273">
        <f t="shared" si="7"/>
        <v>0</v>
      </c>
    </row>
    <row r="202" spans="1:19">
      <c r="A202" s="16" t="s">
        <v>925</v>
      </c>
      <c r="B202" s="16" t="s">
        <v>926</v>
      </c>
      <c r="C202" s="58" t="s">
        <v>214</v>
      </c>
      <c r="D202" s="273">
        <v>20</v>
      </c>
      <c r="E202" s="274">
        <v>3</v>
      </c>
      <c r="F202" s="274">
        <v>3</v>
      </c>
      <c r="G202" s="274">
        <v>2</v>
      </c>
      <c r="H202" s="274">
        <v>2</v>
      </c>
      <c r="I202" s="274">
        <v>2</v>
      </c>
      <c r="L202" s="16">
        <f>IF(E202&gt;計分版!C$13,0,1)</f>
        <v>0</v>
      </c>
      <c r="M202" s="16">
        <f>IF(F202&gt;計分版!D$13,0,1)</f>
        <v>0</v>
      </c>
      <c r="N202" s="16">
        <f>IF(G202&gt;計分版!E$13,0,1)</f>
        <v>0</v>
      </c>
      <c r="O202" s="16">
        <f>IF(H202&gt;計分版!F$13,0,1)</f>
        <v>0</v>
      </c>
      <c r="P202" s="16">
        <f>IF(OR(計分版!P203&gt;2,計分版!V189&gt;2),1,0)</f>
        <v>0</v>
      </c>
      <c r="S202" s="273">
        <f t="shared" si="7"/>
        <v>0</v>
      </c>
    </row>
    <row r="203" spans="1:19">
      <c r="A203" s="16" t="s">
        <v>927</v>
      </c>
      <c r="B203" s="16" t="s">
        <v>928</v>
      </c>
      <c r="C203" s="58" t="s">
        <v>214</v>
      </c>
      <c r="D203" s="273">
        <v>20</v>
      </c>
      <c r="E203" s="88">
        <v>3</v>
      </c>
      <c r="F203" s="88">
        <v>3</v>
      </c>
      <c r="G203" s="88">
        <v>2</v>
      </c>
      <c r="H203" s="88">
        <v>2</v>
      </c>
      <c r="I203" s="88">
        <v>2</v>
      </c>
      <c r="L203" s="16">
        <f>IF(E203&gt;計分版!C$13,0,1)</f>
        <v>0</v>
      </c>
      <c r="M203" s="16">
        <f>IF(F203&gt;計分版!D$13,0,1)</f>
        <v>0</v>
      </c>
      <c r="N203" s="16">
        <f>IF(G203&gt;計分版!E$13,0,1)</f>
        <v>0</v>
      </c>
      <c r="O203" s="16">
        <f>IF(H203&gt;計分版!F$13,0,1)</f>
        <v>0</v>
      </c>
      <c r="P203" s="16">
        <f>IF(I203&gt;LARGE(計分版!$G$13:$L$13,1),0,1)</f>
        <v>0</v>
      </c>
      <c r="S203" s="273">
        <f t="shared" si="7"/>
        <v>0</v>
      </c>
    </row>
    <row r="204" spans="1:19">
      <c r="A204" s="16" t="s">
        <v>929</v>
      </c>
      <c r="B204" s="16" t="s">
        <v>930</v>
      </c>
      <c r="C204" s="58" t="s">
        <v>214</v>
      </c>
      <c r="D204" s="273">
        <v>10</v>
      </c>
      <c r="E204" s="274">
        <v>3</v>
      </c>
      <c r="F204" s="274">
        <v>3</v>
      </c>
      <c r="G204" s="274">
        <v>2</v>
      </c>
      <c r="H204" s="274">
        <v>2</v>
      </c>
      <c r="I204" s="274">
        <v>2</v>
      </c>
      <c r="L204" s="16">
        <f>IF(E204&gt;計分版!C$13,0,1)</f>
        <v>0</v>
      </c>
      <c r="M204" s="16">
        <f>IF(F204&gt;計分版!D$13,0,1)</f>
        <v>0</v>
      </c>
      <c r="N204" s="16">
        <f>IF(G204&gt;計分版!E$13,0,1)</f>
        <v>0</v>
      </c>
      <c r="O204" s="16">
        <f>IF(H204&gt;計分版!F$13,0,1)</f>
        <v>0</v>
      </c>
      <c r="P204" s="16">
        <f>IF(I204&gt;LARGE(計分版!$G$13:$L$13,1),0,1)</f>
        <v>0</v>
      </c>
      <c r="S204" s="273">
        <f t="shared" si="7"/>
        <v>0</v>
      </c>
    </row>
    <row r="205" spans="1:19">
      <c r="A205" s="16" t="s">
        <v>931</v>
      </c>
      <c r="B205" s="16" t="s">
        <v>932</v>
      </c>
      <c r="C205" s="58" t="s">
        <v>214</v>
      </c>
      <c r="D205" s="273">
        <v>18</v>
      </c>
      <c r="E205" s="88">
        <v>3</v>
      </c>
      <c r="F205" s="88">
        <v>3</v>
      </c>
      <c r="G205" s="88">
        <v>3</v>
      </c>
      <c r="H205" s="88">
        <v>2</v>
      </c>
      <c r="I205" s="88">
        <v>2</v>
      </c>
      <c r="L205" s="16">
        <f>IF(E205&gt;計分版!C$13,0,1)</f>
        <v>0</v>
      </c>
      <c r="M205" s="16">
        <f>IF(F205&gt;計分版!D$13,0,1)</f>
        <v>0</v>
      </c>
      <c r="N205" s="16">
        <f>IF(G205&gt;計分版!E$13,0,1)</f>
        <v>0</v>
      </c>
      <c r="O205" s="16">
        <f>IF(H205&gt;計分版!F$13,0,1)</f>
        <v>0</v>
      </c>
      <c r="P205" s="16">
        <f>IF(AND(計分版!$E$8&gt;3,計分版!$G$8&gt;2),1,IF(計分版!$E$8&gt;5,2,0))</f>
        <v>0</v>
      </c>
      <c r="S205" s="273">
        <f t="shared" si="7"/>
        <v>0</v>
      </c>
    </row>
    <row r="206" spans="1:19">
      <c r="A206" s="16" t="s">
        <v>933</v>
      </c>
      <c r="B206" s="16" t="s">
        <v>934</v>
      </c>
      <c r="C206" s="58" t="s">
        <v>214</v>
      </c>
      <c r="D206" s="273">
        <v>49</v>
      </c>
      <c r="E206" s="274">
        <v>3</v>
      </c>
      <c r="F206" s="274">
        <v>3</v>
      </c>
      <c r="G206" s="274">
        <v>2</v>
      </c>
      <c r="H206" s="274">
        <v>2</v>
      </c>
      <c r="I206" s="274">
        <v>2</v>
      </c>
      <c r="L206" s="16">
        <f>IF(E206&gt;計分版!C$13,0,1)</f>
        <v>0</v>
      </c>
      <c r="M206" s="16">
        <f>IF(F206&gt;計分版!D$13,0,1)</f>
        <v>0</v>
      </c>
      <c r="N206" s="16">
        <f>IF(G206&gt;計分版!E$13,0,1)</f>
        <v>0</v>
      </c>
      <c r="O206" s="16">
        <f>IF(H206&gt;計分版!F$13,0,1)</f>
        <v>0</v>
      </c>
      <c r="P206" s="16">
        <f>IF(I206&gt;LARGE(計分版!$G$13:$L$13,1),0,1)</f>
        <v>0</v>
      </c>
      <c r="S206" s="273">
        <f t="shared" si="7"/>
        <v>0</v>
      </c>
    </row>
    <row r="207" spans="1:19">
      <c r="A207" s="16" t="s">
        <v>935</v>
      </c>
      <c r="B207" s="16" t="s">
        <v>936</v>
      </c>
      <c r="C207" s="58" t="s">
        <v>214</v>
      </c>
      <c r="D207" s="273">
        <v>10</v>
      </c>
      <c r="E207" s="88">
        <v>3</v>
      </c>
      <c r="F207" s="88">
        <v>3</v>
      </c>
      <c r="G207" s="88">
        <v>2</v>
      </c>
      <c r="H207" s="88">
        <v>2</v>
      </c>
      <c r="I207" s="88">
        <v>2</v>
      </c>
      <c r="L207" s="16">
        <f>IF(E207&gt;計分版!C$13,0,1)</f>
        <v>0</v>
      </c>
      <c r="M207" s="16">
        <f>IF(F207&gt;計分版!D$13,0,1)</f>
        <v>0</v>
      </c>
      <c r="N207" s="16">
        <f>IF(G207&gt;計分版!E$13,0,1)</f>
        <v>0</v>
      </c>
      <c r="O207" s="16">
        <f>IF(H207&gt;計分版!F$13,0,1)</f>
        <v>0</v>
      </c>
      <c r="P207" s="16">
        <f>IF(I207&gt;LARGE(計分版!$G$13:$L$13,1),0,1)</f>
        <v>0</v>
      </c>
      <c r="S207" s="273">
        <f t="shared" si="7"/>
        <v>0</v>
      </c>
    </row>
    <row r="208" spans="1:19">
      <c r="A208" s="16" t="s">
        <v>937</v>
      </c>
      <c r="B208" s="16" t="s">
        <v>938</v>
      </c>
      <c r="C208" s="58" t="s">
        <v>214</v>
      </c>
      <c r="D208" s="273">
        <v>14</v>
      </c>
      <c r="E208" s="274">
        <v>3</v>
      </c>
      <c r="F208" s="274">
        <v>3</v>
      </c>
      <c r="G208" s="274">
        <v>2</v>
      </c>
      <c r="H208" s="274">
        <v>2</v>
      </c>
      <c r="I208" s="274">
        <v>4</v>
      </c>
      <c r="L208" s="16">
        <f>IF(E208&gt;計分版!C$13,0,1)</f>
        <v>0</v>
      </c>
      <c r="M208" s="16">
        <f>IF(F208&gt;計分版!D$13,0,1)</f>
        <v>0</v>
      </c>
      <c r="N208" s="16">
        <f>IF(G208&gt;計分版!E$13,0,1)</f>
        <v>0</v>
      </c>
      <c r="O208" s="16">
        <f>IF(H208&gt;計分版!F$13,0,1)</f>
        <v>0</v>
      </c>
      <c r="P208" s="16">
        <f>IF(計分版!P203&gt;4,1,0)</f>
        <v>0</v>
      </c>
      <c r="S208" s="273">
        <f>L208*M208*N208*O208*P208</f>
        <v>0</v>
      </c>
    </row>
    <row r="209" spans="1:19">
      <c r="A209" s="16" t="s">
        <v>939</v>
      </c>
      <c r="B209" s="16" t="s">
        <v>940</v>
      </c>
      <c r="C209" s="58" t="s">
        <v>214</v>
      </c>
      <c r="D209" s="273">
        <v>16</v>
      </c>
      <c r="E209" s="88">
        <v>5</v>
      </c>
      <c r="F209" s="88">
        <v>3</v>
      </c>
      <c r="G209" s="88">
        <v>2</v>
      </c>
      <c r="H209" s="88">
        <v>2</v>
      </c>
      <c r="I209" s="88">
        <v>2</v>
      </c>
      <c r="L209" s="16">
        <f>IF(E209&gt;計分版!C$13,0,1)</f>
        <v>0</v>
      </c>
      <c r="M209" s="16">
        <f>IF(F209&gt;計分版!D$13,0,1)</f>
        <v>0</v>
      </c>
      <c r="N209" s="16">
        <f>IF(G209&gt;計分版!E$13,0,1)</f>
        <v>0</v>
      </c>
      <c r="O209" s="16">
        <f>IF(H209&gt;計分版!F$13,0,1)</f>
        <v>0</v>
      </c>
      <c r="P209" s="16">
        <f>IF(I209&gt;LARGE(計分版!$G$13:$L$13,1),0,1)</f>
        <v>0</v>
      </c>
      <c r="S209" s="273">
        <f t="shared" si="7"/>
        <v>0</v>
      </c>
    </row>
    <row r="210" spans="1:19">
      <c r="A210" s="16" t="s">
        <v>941</v>
      </c>
      <c r="B210" s="16" t="s">
        <v>942</v>
      </c>
      <c r="C210" s="58" t="s">
        <v>214</v>
      </c>
      <c r="D210" s="273">
        <v>16</v>
      </c>
      <c r="E210" s="274">
        <v>3</v>
      </c>
      <c r="F210" s="274">
        <v>5</v>
      </c>
      <c r="G210" s="274">
        <v>2</v>
      </c>
      <c r="H210" s="274">
        <v>2</v>
      </c>
      <c r="I210" s="274">
        <v>2</v>
      </c>
      <c r="L210" s="16">
        <f>IF(E210&gt;計分版!C$13,0,1)</f>
        <v>0</v>
      </c>
      <c r="M210" s="16">
        <f>IF(F210&gt;計分版!D$13,0,1)</f>
        <v>0</v>
      </c>
      <c r="N210" s="16">
        <f>IF(G210&gt;計分版!E$13,0,1)</f>
        <v>0</v>
      </c>
      <c r="O210" s="16">
        <f>IF(H210&gt;計分版!F$13,0,1)</f>
        <v>0</v>
      </c>
      <c r="P210" s="16">
        <f>IF(I210&gt;LARGE(計分版!$G$13:$L$13,1),0,1)</f>
        <v>0</v>
      </c>
      <c r="S210" s="273">
        <f t="shared" si="7"/>
        <v>0</v>
      </c>
    </row>
    <row r="211" spans="1:19">
      <c r="A211" s="16" t="s">
        <v>943</v>
      </c>
      <c r="B211" s="16" t="s">
        <v>944</v>
      </c>
      <c r="C211" s="58" t="s">
        <v>214</v>
      </c>
      <c r="D211" s="273">
        <v>24</v>
      </c>
      <c r="E211" s="88">
        <v>3</v>
      </c>
      <c r="F211" s="88">
        <v>3</v>
      </c>
      <c r="G211" s="88">
        <v>2</v>
      </c>
      <c r="H211" s="88">
        <v>2</v>
      </c>
      <c r="I211" s="88">
        <v>2</v>
      </c>
      <c r="L211" s="16">
        <f>IF(E211&gt;計分版!C$13,0,1)</f>
        <v>0</v>
      </c>
      <c r="M211" s="16">
        <f>IF(F211&gt;計分版!D$13,0,1)</f>
        <v>0</v>
      </c>
      <c r="N211" s="16">
        <f>IF(G211&gt;計分版!E$13,0,1)</f>
        <v>0</v>
      </c>
      <c r="O211" s="16">
        <f>IF(H211&gt;計分版!F$13,0,1)</f>
        <v>0</v>
      </c>
      <c r="P211" s="16">
        <f>IF(I211&gt;LARGE(計分版!$G$13:$L$13,1),0,1)</f>
        <v>0</v>
      </c>
      <c r="S211" s="273">
        <f t="shared" si="7"/>
        <v>0</v>
      </c>
    </row>
    <row r="212" spans="1:19">
      <c r="A212" s="16" t="s">
        <v>945</v>
      </c>
      <c r="B212" s="16" t="s">
        <v>946</v>
      </c>
      <c r="C212" s="58" t="s">
        <v>214</v>
      </c>
      <c r="D212" s="273">
        <v>12</v>
      </c>
      <c r="E212" s="274">
        <v>3</v>
      </c>
      <c r="F212" s="274">
        <v>3</v>
      </c>
      <c r="G212" s="274">
        <v>2</v>
      </c>
      <c r="H212" s="274">
        <v>2</v>
      </c>
      <c r="I212" s="274">
        <v>2</v>
      </c>
      <c r="L212" s="16">
        <f>IF(E212&gt;計分版!C$13,0,1)</f>
        <v>0</v>
      </c>
      <c r="M212" s="16">
        <f>IF(F212&gt;計分版!D$13,0,1)</f>
        <v>0</v>
      </c>
      <c r="N212" s="16">
        <f>IF(G212&gt;計分版!E$13,0,1)</f>
        <v>0</v>
      </c>
      <c r="O212" s="16">
        <f>IF(H212&gt;計分版!F$13,0,1)</f>
        <v>0</v>
      </c>
      <c r="P212" s="16">
        <f>IF(I212&gt;LARGE(計分版!$G$13:$L$13,1),0,1)</f>
        <v>0</v>
      </c>
      <c r="S212" s="273">
        <f t="shared" si="7"/>
        <v>0</v>
      </c>
    </row>
    <row r="213" spans="1:19">
      <c r="A213" s="16" t="s">
        <v>947</v>
      </c>
      <c r="B213" s="16" t="s">
        <v>948</v>
      </c>
      <c r="C213" s="58" t="s">
        <v>214</v>
      </c>
      <c r="D213" s="273">
        <v>12</v>
      </c>
      <c r="E213" s="88">
        <v>3</v>
      </c>
      <c r="F213" s="88">
        <v>3</v>
      </c>
      <c r="G213" s="88">
        <v>2</v>
      </c>
      <c r="H213" s="88">
        <v>2</v>
      </c>
      <c r="I213" s="88">
        <v>2</v>
      </c>
      <c r="L213" s="16">
        <f>IF(E213&gt;計分版!C$13,0,1)</f>
        <v>0</v>
      </c>
      <c r="M213" s="16">
        <f>IF(F213&gt;計分版!D$13,0,1)</f>
        <v>0</v>
      </c>
      <c r="N213" s="16">
        <f>IF(G213&gt;計分版!E$13,0,1)</f>
        <v>0</v>
      </c>
      <c r="O213" s="16">
        <f>IF(H213&gt;計分版!F$13,0,1)</f>
        <v>0</v>
      </c>
      <c r="P213" s="16">
        <f>IF(I213&gt;LARGE(計分版!$G$13:$L$13,1),0,1)</f>
        <v>0</v>
      </c>
      <c r="S213" s="273">
        <f t="shared" si="7"/>
        <v>0</v>
      </c>
    </row>
    <row r="214" spans="1:19">
      <c r="A214" s="16" t="s">
        <v>949</v>
      </c>
      <c r="B214" s="16" t="s">
        <v>950</v>
      </c>
      <c r="C214" s="58" t="s">
        <v>214</v>
      </c>
      <c r="D214" s="273">
        <v>20</v>
      </c>
      <c r="E214" s="274">
        <v>3</v>
      </c>
      <c r="F214" s="274">
        <v>3</v>
      </c>
      <c r="G214" s="274">
        <v>2</v>
      </c>
      <c r="H214" s="274">
        <v>2</v>
      </c>
      <c r="I214" s="274">
        <v>2</v>
      </c>
      <c r="L214" s="16">
        <f>IF(E214&gt;計分版!C$13,0,1)</f>
        <v>0</v>
      </c>
      <c r="M214" s="16">
        <f>IF(F214&gt;計分版!D$13,0,1)</f>
        <v>0</v>
      </c>
      <c r="N214" s="16">
        <f>IF(G214&gt;計分版!E$13,0,1)</f>
        <v>0</v>
      </c>
      <c r="O214" s="16">
        <f>IF(H214&gt;計分版!F$13,0,1)</f>
        <v>0</v>
      </c>
      <c r="P214" s="16">
        <f>IF(I214&gt;LARGE(計分版!$G$13:$L$13,1),0,1)</f>
        <v>0</v>
      </c>
      <c r="S214" s="273">
        <f t="shared" si="7"/>
        <v>0</v>
      </c>
    </row>
    <row r="215" spans="1:19">
      <c r="A215" s="16" t="s">
        <v>951</v>
      </c>
      <c r="B215" s="16" t="s">
        <v>952</v>
      </c>
      <c r="C215" s="58" t="s">
        <v>214</v>
      </c>
      <c r="D215" s="273">
        <v>20</v>
      </c>
      <c r="E215" s="88">
        <v>3</v>
      </c>
      <c r="F215" s="88">
        <v>3</v>
      </c>
      <c r="G215" s="88">
        <v>2</v>
      </c>
      <c r="H215" s="88">
        <v>2</v>
      </c>
      <c r="I215" s="88">
        <v>2</v>
      </c>
      <c r="L215" s="16">
        <f>IF(E215&gt;計分版!C$13,0,1)</f>
        <v>0</v>
      </c>
      <c r="M215" s="16">
        <f>IF(F215&gt;計分版!D$13,0,1)</f>
        <v>0</v>
      </c>
      <c r="N215" s="16">
        <f>IF(G215&gt;計分版!E$13,0,1)</f>
        <v>0</v>
      </c>
      <c r="O215" s="16">
        <f>IF(H215&gt;計分版!F$13,0,1)</f>
        <v>0</v>
      </c>
      <c r="P215" s="16">
        <f>IF(I215&gt;LARGE(計分版!$G$13:$L$13,1),0,1)</f>
        <v>0</v>
      </c>
      <c r="S215" s="273">
        <f t="shared" si="7"/>
        <v>0</v>
      </c>
    </row>
    <row r="216" spans="1:19">
      <c r="A216" s="16" t="s">
        <v>953</v>
      </c>
      <c r="B216" s="16" t="s">
        <v>954</v>
      </c>
      <c r="C216" s="58" t="s">
        <v>214</v>
      </c>
      <c r="D216" s="273">
        <v>40</v>
      </c>
      <c r="E216" s="274">
        <v>3</v>
      </c>
      <c r="F216" s="274">
        <v>3</v>
      </c>
      <c r="G216" s="274">
        <v>2</v>
      </c>
      <c r="H216" s="274">
        <v>2</v>
      </c>
      <c r="I216" s="274">
        <v>2</v>
      </c>
      <c r="L216" s="16">
        <f>IF(E216&gt;計分版!C$13,0,1)</f>
        <v>0</v>
      </c>
      <c r="M216" s="16">
        <f>IF(F216&gt;計分版!D$13,0,1)</f>
        <v>0</v>
      </c>
      <c r="N216" s="16">
        <f>IF(G216&gt;計分版!E$13,0,1)</f>
        <v>0</v>
      </c>
      <c r="O216" s="16">
        <f>IF(H216&gt;計分版!F$13,0,1)</f>
        <v>0</v>
      </c>
      <c r="P216" s="16">
        <f>IF(I216&gt;LARGE(計分版!$G$13:$L$13,1),0,1)</f>
        <v>0</v>
      </c>
      <c r="S216" s="273">
        <f t="shared" si="7"/>
        <v>0</v>
      </c>
    </row>
    <row r="217" spans="1:19">
      <c r="A217" s="16" t="s">
        <v>955</v>
      </c>
      <c r="B217" s="16" t="s">
        <v>956</v>
      </c>
      <c r="C217" s="58" t="s">
        <v>214</v>
      </c>
      <c r="D217" s="273">
        <v>40</v>
      </c>
      <c r="E217" s="88">
        <v>3</v>
      </c>
      <c r="F217" s="88">
        <v>3</v>
      </c>
      <c r="G217" s="88">
        <v>2</v>
      </c>
      <c r="H217" s="88">
        <v>2</v>
      </c>
      <c r="I217" s="88">
        <v>2</v>
      </c>
      <c r="L217" s="16">
        <f>IF(E217&gt;計分版!C$13,0,1)</f>
        <v>0</v>
      </c>
      <c r="M217" s="16">
        <f>IF(F217&gt;計分版!D$13,0,1)</f>
        <v>0</v>
      </c>
      <c r="N217" s="16">
        <f>IF(G217&gt;計分版!E$13,0,1)</f>
        <v>0</v>
      </c>
      <c r="O217" s="16">
        <f>IF(H217&gt;計分版!F$13,0,1)</f>
        <v>0</v>
      </c>
      <c r="P217" s="16">
        <f>IF(I217&gt;LARGE(計分版!$G$13:$L$13,1),0,1)</f>
        <v>0</v>
      </c>
      <c r="S217" s="273">
        <f t="shared" si="7"/>
        <v>0</v>
      </c>
    </row>
    <row r="218" spans="1:19">
      <c r="A218" s="16" t="s">
        <v>957</v>
      </c>
      <c r="B218" s="16" t="s">
        <v>958</v>
      </c>
      <c r="C218" s="58" t="s">
        <v>214</v>
      </c>
      <c r="D218" s="273">
        <v>20</v>
      </c>
      <c r="E218" s="274">
        <v>3</v>
      </c>
      <c r="F218" s="274">
        <v>5</v>
      </c>
      <c r="G218" s="274">
        <v>2</v>
      </c>
      <c r="H218" s="274">
        <v>2</v>
      </c>
      <c r="I218" s="274">
        <v>2</v>
      </c>
      <c r="L218" s="16">
        <f>IF(E218&gt;計分版!C$13,0,1)</f>
        <v>0</v>
      </c>
      <c r="M218" s="16">
        <f>IF(F218&gt;計分版!D$13,0,1)</f>
        <v>0</v>
      </c>
      <c r="N218" s="16">
        <f>IF(G218&gt;計分版!E$13,0,1)</f>
        <v>0</v>
      </c>
      <c r="O218" s="16">
        <f>IF(H218&gt;計分版!F$13,0,1)</f>
        <v>0</v>
      </c>
      <c r="P218" s="16">
        <f>IF(I218&gt;LARGE(計分版!$G$13:$L$13,1),0,1)</f>
        <v>0</v>
      </c>
      <c r="S218" s="273">
        <f t="shared" si="7"/>
        <v>0</v>
      </c>
    </row>
    <row r="219" spans="1:19">
      <c r="A219" s="16" t="s">
        <v>959</v>
      </c>
      <c r="B219" s="16" t="s">
        <v>960</v>
      </c>
      <c r="C219" s="58" t="s">
        <v>214</v>
      </c>
      <c r="D219" s="273">
        <v>330</v>
      </c>
      <c r="E219" s="88">
        <v>2</v>
      </c>
      <c r="F219" s="88">
        <v>2</v>
      </c>
      <c r="G219" s="88">
        <v>2</v>
      </c>
      <c r="H219" s="88">
        <v>2</v>
      </c>
      <c r="I219" s="88">
        <v>2</v>
      </c>
      <c r="L219" s="16">
        <f>IF(E219&gt;計分版!C$13,0,1)</f>
        <v>0</v>
      </c>
      <c r="M219" s="16">
        <f>IF(F219&gt;計分版!D$13,0,1)</f>
        <v>0</v>
      </c>
      <c r="N219" s="16">
        <f>IF(G219&gt;計分版!E$13,0,1)</f>
        <v>0</v>
      </c>
      <c r="O219" s="16">
        <f>IF(H219&gt;計分版!F$13,0,1)</f>
        <v>0</v>
      </c>
      <c r="P219" s="16">
        <f>IF(I219&gt;LARGE(計分版!$G$13:$L$13,1),0,1)</f>
        <v>0</v>
      </c>
      <c r="S219" s="273">
        <f t="shared" si="7"/>
        <v>0</v>
      </c>
    </row>
    <row r="221" spans="1:19">
      <c r="A221" s="42" t="s">
        <v>843</v>
      </c>
      <c r="B221" s="42" t="s">
        <v>400</v>
      </c>
      <c r="C221" s="42" t="s">
        <v>229</v>
      </c>
      <c r="D221" s="56" t="s">
        <v>394</v>
      </c>
      <c r="E221" s="56" t="s">
        <v>405</v>
      </c>
      <c r="F221" s="56" t="s">
        <v>406</v>
      </c>
      <c r="G221" s="56" t="s">
        <v>407</v>
      </c>
      <c r="H221" s="56" t="s">
        <v>408</v>
      </c>
      <c r="I221" s="56" t="s">
        <v>409</v>
      </c>
      <c r="J221" s="56" t="s">
        <v>410</v>
      </c>
      <c r="K221" s="42"/>
      <c r="L221" s="56" t="s">
        <v>405</v>
      </c>
      <c r="M221" s="56" t="s">
        <v>406</v>
      </c>
      <c r="N221" s="56" t="s">
        <v>407</v>
      </c>
      <c r="O221" s="56" t="s">
        <v>408</v>
      </c>
      <c r="P221" s="56" t="s">
        <v>409</v>
      </c>
      <c r="Q221" s="56" t="s">
        <v>410</v>
      </c>
    </row>
    <row r="222" spans="1:19">
      <c r="A222" s="16" t="s">
        <v>692</v>
      </c>
      <c r="B222" s="16" t="s">
        <v>693</v>
      </c>
      <c r="E222" s="48">
        <v>3</v>
      </c>
      <c r="F222" s="48">
        <v>3</v>
      </c>
      <c r="G222" s="48">
        <v>4</v>
      </c>
      <c r="H222" s="48">
        <v>2</v>
      </c>
      <c r="I222" s="48">
        <v>3</v>
      </c>
      <c r="J222" s="48">
        <v>3</v>
      </c>
      <c r="L222" s="273">
        <f>IF(E222&gt;計分版!$C$13,0,1)</f>
        <v>0</v>
      </c>
      <c r="M222" s="273">
        <f>IF(F222&gt;計分版!$D$13,0,1)</f>
        <v>0</v>
      </c>
      <c r="N222" s="273">
        <f>IF(G222&gt;計分版!$E$13,0,1)</f>
        <v>0</v>
      </c>
      <c r="O222" s="273">
        <f>IF(H222&gt;計分版!$F$13,0,1)</f>
        <v>0</v>
      </c>
      <c r="P222" s="273">
        <f>IF(I222&gt;LARGE(計分版!$G$13:$L$13,1),0,1)</f>
        <v>0</v>
      </c>
      <c r="Q222" s="273">
        <f>IF(J222&gt;LARGE(計分版!$G$13:$L$13,2),0,1)</f>
        <v>0</v>
      </c>
      <c r="S222" s="273">
        <f t="shared" ref="S222:S253" si="8">L222*M222*N222*O222*P222</f>
        <v>0</v>
      </c>
    </row>
    <row r="223" spans="1:19">
      <c r="A223" s="16" t="s">
        <v>695</v>
      </c>
      <c r="B223" s="16" t="s">
        <v>696</v>
      </c>
      <c r="E223" s="48">
        <v>3</v>
      </c>
      <c r="F223" s="48">
        <v>3</v>
      </c>
      <c r="G223" s="48">
        <v>3</v>
      </c>
      <c r="H223" s="48">
        <v>2</v>
      </c>
      <c r="I223" s="48">
        <v>3</v>
      </c>
      <c r="J223" s="48">
        <v>3</v>
      </c>
      <c r="L223" s="273">
        <f>IF(E223&gt;計分版!C$13,0,1)</f>
        <v>0</v>
      </c>
      <c r="M223" s="273">
        <f>IF(F223&gt;計分版!D$13,0,1)</f>
        <v>0</v>
      </c>
      <c r="N223" s="273">
        <f>IF(G223&gt;計分版!E$13,0,1)</f>
        <v>0</v>
      </c>
      <c r="O223" s="273">
        <f>IF(H223&gt;計分版!F$13,0,1)</f>
        <v>0</v>
      </c>
      <c r="P223" s="273">
        <f>IF(I223&gt;LARGE(計分版!$G$13:$L$13,1),0,1)</f>
        <v>0</v>
      </c>
      <c r="Q223" s="273">
        <f>IF(J223&gt;LARGE(計分版!$G$13:$L$13,2),0,1)</f>
        <v>0</v>
      </c>
      <c r="S223" s="273">
        <f t="shared" si="8"/>
        <v>0</v>
      </c>
    </row>
    <row r="224" spans="1:19">
      <c r="A224" s="16" t="s">
        <v>698</v>
      </c>
      <c r="B224" s="16" t="s">
        <v>699</v>
      </c>
      <c r="E224" s="48">
        <v>3</v>
      </c>
      <c r="F224" s="48">
        <v>3</v>
      </c>
      <c r="G224" s="48">
        <v>3</v>
      </c>
      <c r="H224" s="48">
        <v>2</v>
      </c>
      <c r="I224" s="48">
        <v>3</v>
      </c>
      <c r="J224" s="48">
        <v>3</v>
      </c>
      <c r="L224" s="273">
        <f>IF(E224&gt;計分版!C$13,0,1)</f>
        <v>0</v>
      </c>
      <c r="M224" s="273">
        <f>IF(F224&gt;計分版!D$13,0,1)</f>
        <v>0</v>
      </c>
      <c r="N224" s="273">
        <f>IF(G224&gt;計分版!E$13,0,1)</f>
        <v>0</v>
      </c>
      <c r="O224" s="273">
        <f>IF(H224&gt;計分版!F$13,0,1)</f>
        <v>0</v>
      </c>
      <c r="P224" s="273">
        <f>IF(I224&gt;LARGE(計分版!$G$13:$L$13,1),0,1)</f>
        <v>0</v>
      </c>
      <c r="Q224" s="273">
        <f>IF(J224&gt;LARGE(計分版!$G$13:$L$13,2),0,1)</f>
        <v>0</v>
      </c>
      <c r="S224" s="273">
        <f t="shared" si="8"/>
        <v>0</v>
      </c>
    </row>
    <row r="225" spans="1:19">
      <c r="A225" s="16" t="s">
        <v>701</v>
      </c>
      <c r="B225" s="16" t="s">
        <v>702</v>
      </c>
      <c r="E225" s="48">
        <v>3</v>
      </c>
      <c r="F225" s="48">
        <v>3</v>
      </c>
      <c r="G225" s="48">
        <v>3</v>
      </c>
      <c r="H225" s="48">
        <v>2</v>
      </c>
      <c r="I225" s="48">
        <v>3</v>
      </c>
      <c r="J225" s="48">
        <v>3</v>
      </c>
      <c r="L225" s="273">
        <f>IF(E225&gt;計分版!C$13,0,1)</f>
        <v>0</v>
      </c>
      <c r="M225" s="273">
        <f>IF(F225&gt;計分版!D$13,0,1)</f>
        <v>0</v>
      </c>
      <c r="N225" s="273">
        <f>IF(G225&gt;計分版!E$13,0,1)</f>
        <v>0</v>
      </c>
      <c r="O225" s="273">
        <f>IF(H225&gt;計分版!F$13,0,1)</f>
        <v>0</v>
      </c>
      <c r="P225" s="273">
        <f>IF(I225&gt;LARGE(計分版!$G$13:$L$13,1),0,1)</f>
        <v>0</v>
      </c>
      <c r="Q225" s="273">
        <f>IF(J225&gt;LARGE(計分版!$G$13:$L$13,2),0,1)</f>
        <v>0</v>
      </c>
      <c r="S225" s="273">
        <f t="shared" si="8"/>
        <v>0</v>
      </c>
    </row>
    <row r="226" spans="1:19">
      <c r="A226" s="16" t="s">
        <v>704</v>
      </c>
      <c r="B226" s="16" t="s">
        <v>705</v>
      </c>
      <c r="E226" s="48">
        <v>3</v>
      </c>
      <c r="F226" s="48">
        <v>3</v>
      </c>
      <c r="G226" s="48">
        <v>3</v>
      </c>
      <c r="H226" s="48">
        <v>2</v>
      </c>
      <c r="I226" s="48">
        <v>3</v>
      </c>
      <c r="J226" s="48">
        <v>3</v>
      </c>
      <c r="L226" s="273">
        <f>IF(E226&gt;計分版!C$13,0,1)</f>
        <v>0</v>
      </c>
      <c r="M226" s="273">
        <f>IF(F226&gt;計分版!D$13,0,1)</f>
        <v>0</v>
      </c>
      <c r="N226" s="273">
        <f>IF(G226&gt;計分版!E$13,0,1)</f>
        <v>0</v>
      </c>
      <c r="O226" s="273">
        <f>IF(H226&gt;計分版!F$13,0,1)</f>
        <v>0</v>
      </c>
      <c r="P226" s="273">
        <f>IF(I226&gt;LARGE(計分版!$G$13:$L$13,1),0,1)</f>
        <v>0</v>
      </c>
      <c r="Q226" s="273">
        <f>IF(J226&gt;LARGE(計分版!$G$13:$L$13,2),0,1)</f>
        <v>0</v>
      </c>
      <c r="S226" s="273">
        <f t="shared" si="8"/>
        <v>0</v>
      </c>
    </row>
    <row r="227" spans="1:19">
      <c r="A227" s="16" t="s">
        <v>707</v>
      </c>
      <c r="B227" s="16" t="s">
        <v>708</v>
      </c>
      <c r="E227" s="48">
        <v>3</v>
      </c>
      <c r="F227" s="48">
        <v>3</v>
      </c>
      <c r="G227" s="48">
        <v>3</v>
      </c>
      <c r="H227" s="48">
        <v>2</v>
      </c>
      <c r="I227" s="48">
        <v>3</v>
      </c>
      <c r="J227" s="48">
        <v>3</v>
      </c>
      <c r="L227" s="273">
        <f>IF(E227&gt;計分版!C$13,0,1)</f>
        <v>0</v>
      </c>
      <c r="M227" s="273">
        <f>IF(F227&gt;計分版!D$13,0,1)</f>
        <v>0</v>
      </c>
      <c r="N227" s="273">
        <f>IF(G227&gt;計分版!E$13,0,1)</f>
        <v>0</v>
      </c>
      <c r="O227" s="273">
        <f>IF(H227&gt;計分版!F$13,0,1)</f>
        <v>0</v>
      </c>
      <c r="P227" s="273">
        <f>IF(I227&gt;LARGE(計分版!$G$13:$L$13,1),0,1)</f>
        <v>0</v>
      </c>
      <c r="Q227" s="273">
        <f>IF(J227&gt;LARGE(計分版!$G$13:$L$13,2),0,1)</f>
        <v>0</v>
      </c>
      <c r="S227" s="273">
        <f t="shared" si="8"/>
        <v>0</v>
      </c>
    </row>
    <row r="228" spans="1:19">
      <c r="A228" s="16" t="s">
        <v>710</v>
      </c>
      <c r="B228" s="16" t="s">
        <v>711</v>
      </c>
      <c r="E228" s="48">
        <v>3</v>
      </c>
      <c r="F228" s="48">
        <v>3</v>
      </c>
      <c r="G228" s="48">
        <v>3</v>
      </c>
      <c r="H228" s="48">
        <v>2</v>
      </c>
      <c r="I228" s="48">
        <v>3</v>
      </c>
      <c r="J228" s="48">
        <v>3</v>
      </c>
      <c r="L228" s="273">
        <f>IF(E228&gt;計分版!C$13,0,1)</f>
        <v>0</v>
      </c>
      <c r="M228" s="273">
        <f>IF(F228&gt;計分版!D$13,0,1)</f>
        <v>0</v>
      </c>
      <c r="N228" s="273">
        <f>IF(G228&gt;計分版!E$13,0,1)</f>
        <v>0</v>
      </c>
      <c r="O228" s="273">
        <f>IF(H228&gt;計分版!F$13,0,1)</f>
        <v>0</v>
      </c>
      <c r="P228" s="273">
        <f>IF(I228&gt;LARGE(計分版!$G$13:$L$13,1),0,1)</f>
        <v>0</v>
      </c>
      <c r="Q228" s="273">
        <f>IF(J228&gt;LARGE(計分版!$G$13:$L$13,2),0,1)</f>
        <v>0</v>
      </c>
      <c r="S228" s="273">
        <f t="shared" si="8"/>
        <v>0</v>
      </c>
    </row>
    <row r="229" spans="1:19">
      <c r="A229" s="16" t="s">
        <v>713</v>
      </c>
      <c r="B229" s="16" t="s">
        <v>714</v>
      </c>
      <c r="E229" s="48">
        <v>3</v>
      </c>
      <c r="F229" s="48">
        <v>3</v>
      </c>
      <c r="G229" s="48">
        <v>3</v>
      </c>
      <c r="H229" s="48">
        <v>2</v>
      </c>
      <c r="I229" s="48">
        <v>3</v>
      </c>
      <c r="J229" s="48">
        <v>3</v>
      </c>
      <c r="L229" s="273">
        <f>IF(E229&gt;計分版!C$13,0,1)</f>
        <v>0</v>
      </c>
      <c r="M229" s="273">
        <f>IF(F229&gt;計分版!D$13,0,1)</f>
        <v>0</v>
      </c>
      <c r="N229" s="273">
        <f>IF(G229&gt;計分版!E$13,0,1)</f>
        <v>0</v>
      </c>
      <c r="O229" s="273">
        <f>IF(H229&gt;計分版!F$13,0,1)</f>
        <v>0</v>
      </c>
      <c r="P229" s="273">
        <f>IF(I229&gt;LARGE(計分版!$G$13:$L$13,1),0,1)</f>
        <v>0</v>
      </c>
      <c r="Q229" s="273">
        <f>IF(J229&gt;LARGE(計分版!$G$13:$L$13,2),0,1)</f>
        <v>0</v>
      </c>
      <c r="S229" s="273">
        <f t="shared" si="8"/>
        <v>0</v>
      </c>
    </row>
    <row r="230" spans="1:19">
      <c r="A230" s="16" t="s">
        <v>716</v>
      </c>
      <c r="B230" s="16" t="s">
        <v>717</v>
      </c>
      <c r="E230" s="48">
        <v>3</v>
      </c>
      <c r="F230" s="48">
        <v>3</v>
      </c>
      <c r="G230" s="48">
        <v>3</v>
      </c>
      <c r="H230" s="48">
        <v>2</v>
      </c>
      <c r="I230" s="48">
        <v>3</v>
      </c>
      <c r="J230" s="48">
        <v>3</v>
      </c>
      <c r="L230" s="273">
        <f>IF(E230&gt;計分版!C$13,0,1)</f>
        <v>0</v>
      </c>
      <c r="M230" s="273">
        <f>IF(F230&gt;計分版!D$13,0,1)</f>
        <v>0</v>
      </c>
      <c r="N230" s="273">
        <f>IF(G230&gt;計分版!E$13,0,1)</f>
        <v>0</v>
      </c>
      <c r="O230" s="273">
        <f>IF(H230&gt;計分版!F$13,0,1)</f>
        <v>0</v>
      </c>
      <c r="P230" s="273">
        <f>IF(I230&gt;LARGE(計分版!$G$13:$L$13,1),0,1)</f>
        <v>0</v>
      </c>
      <c r="Q230" s="273">
        <f>IF(J230&gt;LARGE(計分版!$G$13:$L$13,2),0,1)</f>
        <v>0</v>
      </c>
      <c r="S230" s="273">
        <f t="shared" si="8"/>
        <v>0</v>
      </c>
    </row>
    <row r="231" spans="1:19">
      <c r="A231" s="16" t="s">
        <v>719</v>
      </c>
      <c r="B231" s="16" t="s">
        <v>720</v>
      </c>
      <c r="E231" s="48">
        <v>3</v>
      </c>
      <c r="F231" s="48">
        <v>3</v>
      </c>
      <c r="G231" s="48">
        <v>3</v>
      </c>
      <c r="H231" s="48">
        <v>2</v>
      </c>
      <c r="I231" s="48">
        <v>3</v>
      </c>
      <c r="J231" s="48">
        <v>3</v>
      </c>
      <c r="L231" s="273">
        <f>IF(E231&gt;計分版!C$13,0,1)</f>
        <v>0</v>
      </c>
      <c r="M231" s="273">
        <f>IF(F231&gt;計分版!D$13,0,1)</f>
        <v>0</v>
      </c>
      <c r="N231" s="273">
        <f>IF(G231&gt;計分版!E$13,0,1)</f>
        <v>0</v>
      </c>
      <c r="O231" s="273">
        <f>IF(H231&gt;計分版!F$13,0,1)</f>
        <v>0</v>
      </c>
      <c r="P231" s="273">
        <f>IF(I231&gt;LARGE(計分版!$G$13:$L$13,1),0,1)</f>
        <v>0</v>
      </c>
      <c r="Q231" s="273">
        <f>IF(J231&gt;LARGE(計分版!$G$13:$L$13,2),0,1)</f>
        <v>0</v>
      </c>
      <c r="S231" s="273">
        <f t="shared" si="8"/>
        <v>0</v>
      </c>
    </row>
    <row r="232" spans="1:19">
      <c r="A232" s="16" t="s">
        <v>722</v>
      </c>
      <c r="B232" s="16" t="s">
        <v>723</v>
      </c>
      <c r="E232" s="48">
        <v>3</v>
      </c>
      <c r="F232" s="48">
        <v>3</v>
      </c>
      <c r="G232" s="48">
        <v>3</v>
      </c>
      <c r="H232" s="48">
        <v>2</v>
      </c>
      <c r="I232" s="48">
        <v>3</v>
      </c>
      <c r="J232" s="48">
        <v>3</v>
      </c>
      <c r="L232" s="273">
        <f>IF(E232&gt;計分版!C$13,0,1)</f>
        <v>0</v>
      </c>
      <c r="M232" s="273">
        <f>IF(F232&gt;計分版!D$13,0,1)</f>
        <v>0</v>
      </c>
      <c r="N232" s="273">
        <f>IF(G232&gt;計分版!E$13,0,1)</f>
        <v>0</v>
      </c>
      <c r="O232" s="273">
        <f>IF(H232&gt;計分版!F$13,0,1)</f>
        <v>0</v>
      </c>
      <c r="P232" s="273">
        <f>IF(I232&gt;LARGE(計分版!$G$13:$L$13,1),0,1)</f>
        <v>0</v>
      </c>
      <c r="Q232" s="273">
        <f>IF(J232&gt;LARGE(計分版!$G$13:$L$13,2),0,1)</f>
        <v>0</v>
      </c>
      <c r="S232" s="273">
        <f t="shared" si="8"/>
        <v>0</v>
      </c>
    </row>
    <row r="233" spans="1:19">
      <c r="A233" s="16" t="s">
        <v>725</v>
      </c>
      <c r="B233" s="16" t="s">
        <v>726</v>
      </c>
      <c r="E233" s="48">
        <v>3</v>
      </c>
      <c r="F233" s="48">
        <v>3</v>
      </c>
      <c r="G233" s="48">
        <v>3</v>
      </c>
      <c r="H233" s="48">
        <v>2</v>
      </c>
      <c r="I233" s="48">
        <v>3</v>
      </c>
      <c r="J233" s="48">
        <v>3</v>
      </c>
      <c r="L233" s="273">
        <f>IF(E233&gt;計分版!C$13,0,1)</f>
        <v>0</v>
      </c>
      <c r="M233" s="273">
        <f>IF(F233&gt;計分版!D$13,0,1)</f>
        <v>0</v>
      </c>
      <c r="N233" s="273">
        <f>IF(G233&gt;計分版!E$13,0,1)</f>
        <v>0</v>
      </c>
      <c r="O233" s="273">
        <f>IF(H233&gt;計分版!F$13,0,1)</f>
        <v>0</v>
      </c>
      <c r="P233" s="273">
        <f>IF(I233&gt;LARGE(計分版!$G$13:$L$13,1),0,1)</f>
        <v>0</v>
      </c>
      <c r="Q233" s="273">
        <f>IF(J233&gt;LARGE(計分版!$G$13:$L$13,2),0,1)</f>
        <v>0</v>
      </c>
      <c r="S233" s="273">
        <f t="shared" si="8"/>
        <v>0</v>
      </c>
    </row>
    <row r="234" spans="1:19">
      <c r="A234" s="16" t="s">
        <v>728</v>
      </c>
      <c r="B234" s="16" t="s">
        <v>729</v>
      </c>
      <c r="E234" s="48">
        <v>3</v>
      </c>
      <c r="F234" s="48">
        <v>3</v>
      </c>
      <c r="G234" s="48">
        <v>3</v>
      </c>
      <c r="H234" s="48">
        <v>2</v>
      </c>
      <c r="I234" s="48">
        <v>3</v>
      </c>
      <c r="J234" s="48">
        <v>3</v>
      </c>
      <c r="L234" s="273">
        <f>IF(E234&gt;計分版!C$13,0,1)</f>
        <v>0</v>
      </c>
      <c r="M234" s="273">
        <f>IF(F234&gt;計分版!D$13,0,1)</f>
        <v>0</v>
      </c>
      <c r="N234" s="273">
        <f>IF(G234&gt;計分版!E$13,0,1)</f>
        <v>0</v>
      </c>
      <c r="O234" s="273">
        <f>IF(H234&gt;計分版!F$13,0,1)</f>
        <v>0</v>
      </c>
      <c r="P234" s="273">
        <f>IF(I234&gt;LARGE(計分版!$G$13:$L$13,1),0,1)</f>
        <v>0</v>
      </c>
      <c r="Q234" s="273">
        <f>IF(J234&gt;LARGE(計分版!$G$13:$L$13,2),0,1)</f>
        <v>0</v>
      </c>
      <c r="S234" s="273">
        <f t="shared" si="8"/>
        <v>0</v>
      </c>
    </row>
    <row r="235" spans="1:19">
      <c r="A235" s="16" t="s">
        <v>731</v>
      </c>
      <c r="B235" s="16" t="s">
        <v>732</v>
      </c>
      <c r="E235" s="48">
        <v>3</v>
      </c>
      <c r="F235" s="48">
        <v>3</v>
      </c>
      <c r="G235" s="48">
        <v>3</v>
      </c>
      <c r="H235" s="48">
        <v>2</v>
      </c>
      <c r="I235" s="48">
        <v>3</v>
      </c>
      <c r="J235" s="48">
        <v>3</v>
      </c>
      <c r="L235" s="273">
        <f>IF(E235&gt;計分版!C$13,0,1)</f>
        <v>0</v>
      </c>
      <c r="M235" s="273">
        <f>IF(F235&gt;計分版!D$13,0,1)</f>
        <v>0</v>
      </c>
      <c r="N235" s="273">
        <f>IF(G235&gt;計分版!E$13,0,1)</f>
        <v>0</v>
      </c>
      <c r="O235" s="273">
        <f>IF(H235&gt;計分版!F$13,0,1)</f>
        <v>0</v>
      </c>
      <c r="P235" s="273">
        <f>IF(I235&gt;LARGE(計分版!$G$13:$L$13,1),0,1)</f>
        <v>0</v>
      </c>
      <c r="Q235" s="273">
        <f>IF(J235&gt;LARGE(計分版!$G$13:$L$13,2),0,1)</f>
        <v>0</v>
      </c>
      <c r="S235" s="273">
        <f t="shared" si="8"/>
        <v>0</v>
      </c>
    </row>
    <row r="236" spans="1:19">
      <c r="A236" s="16" t="s">
        <v>734</v>
      </c>
      <c r="B236" s="16" t="s">
        <v>992</v>
      </c>
      <c r="E236" s="48">
        <v>3</v>
      </c>
      <c r="F236" s="48">
        <v>3</v>
      </c>
      <c r="G236" s="48">
        <v>2</v>
      </c>
      <c r="H236" s="48">
        <v>2</v>
      </c>
      <c r="I236" s="48">
        <v>3</v>
      </c>
      <c r="J236" s="48">
        <v>3</v>
      </c>
      <c r="L236" s="273">
        <f>IF(E236&gt;計分版!C$13,0,1)</f>
        <v>0</v>
      </c>
      <c r="M236" s="273">
        <f>IF(F236&gt;計分版!D$13,0,1)</f>
        <v>0</v>
      </c>
      <c r="N236" s="273">
        <f>IF(G236&gt;計分版!E$13,0,1)</f>
        <v>0</v>
      </c>
      <c r="O236" s="273">
        <f>IF(H236&gt;計分版!F$13,0,1)</f>
        <v>0</v>
      </c>
      <c r="P236" s="273">
        <f>IF(I236&gt;LARGE(計分版!$G$13:$L$13,1),0,1)</f>
        <v>0</v>
      </c>
      <c r="Q236" s="273">
        <f>IF(J236&gt;LARGE(計分版!$G$13:$L$13,2),0,1)</f>
        <v>0</v>
      </c>
      <c r="S236" s="273">
        <f t="shared" si="8"/>
        <v>0</v>
      </c>
    </row>
    <row r="237" spans="1:19">
      <c r="A237" s="16" t="s">
        <v>737</v>
      </c>
      <c r="B237" s="16" t="s">
        <v>738</v>
      </c>
      <c r="E237" s="48">
        <v>3</v>
      </c>
      <c r="F237" s="48">
        <v>3</v>
      </c>
      <c r="G237" s="48">
        <v>2</v>
      </c>
      <c r="H237" s="48">
        <v>2</v>
      </c>
      <c r="I237" s="48">
        <v>3</v>
      </c>
      <c r="J237" s="48">
        <v>3</v>
      </c>
      <c r="L237" s="273">
        <f>IF(E237&gt;計分版!C$13,0,1)</f>
        <v>0</v>
      </c>
      <c r="M237" s="273">
        <f>IF(F237&gt;計分版!D$13,0,1)</f>
        <v>0</v>
      </c>
      <c r="N237" s="273">
        <f>IF(G237&gt;計分版!E$13,0,1)</f>
        <v>0</v>
      </c>
      <c r="O237" s="273">
        <f>IF(H237&gt;計分版!F$13,0,1)</f>
        <v>0</v>
      </c>
      <c r="P237" s="273">
        <f>IF(I237&gt;LARGE(計分版!$G$13:$L$13,1),0,1)</f>
        <v>0</v>
      </c>
      <c r="Q237" s="273">
        <f>IF(J237&gt;LARGE(計分版!$G$13:$L$13,2),0,1)</f>
        <v>0</v>
      </c>
      <c r="S237" s="273">
        <f t="shared" si="8"/>
        <v>0</v>
      </c>
    </row>
    <row r="238" spans="1:19">
      <c r="A238" s="16" t="s">
        <v>740</v>
      </c>
      <c r="B238" s="16" t="s">
        <v>741</v>
      </c>
      <c r="E238" s="48">
        <v>3</v>
      </c>
      <c r="F238" s="48">
        <v>3</v>
      </c>
      <c r="G238" s="48">
        <v>2</v>
      </c>
      <c r="H238" s="48">
        <v>2</v>
      </c>
      <c r="I238" s="48">
        <v>3</v>
      </c>
      <c r="J238" s="48">
        <v>3</v>
      </c>
      <c r="L238" s="273">
        <f>IF(E238&gt;計分版!C$13,0,1)</f>
        <v>0</v>
      </c>
      <c r="M238" s="273">
        <f>IF(F238&gt;計分版!D$13,0,1)</f>
        <v>0</v>
      </c>
      <c r="N238" s="273">
        <f>IF(G238&gt;計分版!E$13,0,1)</f>
        <v>0</v>
      </c>
      <c r="O238" s="273">
        <f>IF(H238&gt;計分版!F$13,0,1)</f>
        <v>0</v>
      </c>
      <c r="P238" s="273">
        <f>IF(I238&gt;LARGE(計分版!$G$13:$L$13,1),0,1)</f>
        <v>0</v>
      </c>
      <c r="Q238" s="273">
        <f>IF(J238&gt;LARGE(計分版!$G$13:$L$13,2),0,1)</f>
        <v>0</v>
      </c>
      <c r="S238" s="273">
        <f t="shared" si="8"/>
        <v>0</v>
      </c>
    </row>
    <row r="239" spans="1:19">
      <c r="A239" s="16" t="s">
        <v>743</v>
      </c>
      <c r="B239" s="16" t="s">
        <v>744</v>
      </c>
      <c r="E239" s="48">
        <v>3</v>
      </c>
      <c r="F239" s="48">
        <v>3</v>
      </c>
      <c r="G239" s="48">
        <v>2</v>
      </c>
      <c r="H239" s="48">
        <v>2</v>
      </c>
      <c r="I239" s="48">
        <v>3</v>
      </c>
      <c r="J239" s="48">
        <v>3</v>
      </c>
      <c r="L239" s="273">
        <f>IF(E239&gt;計分版!C$13,0,1)</f>
        <v>0</v>
      </c>
      <c r="M239" s="273">
        <f>IF(F239&gt;計分版!D$13,0,1)</f>
        <v>0</v>
      </c>
      <c r="N239" s="273">
        <f>IF(G239&gt;計分版!E$13,0,1)</f>
        <v>0</v>
      </c>
      <c r="O239" s="273">
        <f>IF(H239&gt;計分版!F$13,0,1)</f>
        <v>0</v>
      </c>
      <c r="P239" s="273">
        <f>IF(I239&gt;LARGE(計分版!$G$13:$L$13,1),0,1)</f>
        <v>0</v>
      </c>
      <c r="Q239" s="273">
        <f>IF(J239&gt;LARGE(計分版!$G$13:$L$13,2),0,1)</f>
        <v>0</v>
      </c>
      <c r="S239" s="273">
        <f t="shared" si="8"/>
        <v>0</v>
      </c>
    </row>
    <row r="240" spans="1:19">
      <c r="A240" s="16" t="s">
        <v>746</v>
      </c>
      <c r="B240" s="16" t="s">
        <v>994</v>
      </c>
      <c r="E240" s="48">
        <v>3</v>
      </c>
      <c r="F240" s="48">
        <v>3</v>
      </c>
      <c r="G240" s="48">
        <v>2</v>
      </c>
      <c r="H240" s="48">
        <v>2</v>
      </c>
      <c r="I240" s="48">
        <v>3</v>
      </c>
      <c r="J240" s="48">
        <v>3</v>
      </c>
      <c r="L240" s="273">
        <f>IF(E240&gt;計分版!C$13,0,1)</f>
        <v>0</v>
      </c>
      <c r="M240" s="273">
        <f>IF(F240&gt;計分版!D$13,0,1)</f>
        <v>0</v>
      </c>
      <c r="N240" s="273">
        <f>IF(G240&gt;計分版!E$13,0,1)</f>
        <v>0</v>
      </c>
      <c r="O240" s="273">
        <f>IF(H240&gt;計分版!F$13,0,1)</f>
        <v>0</v>
      </c>
      <c r="P240" s="273">
        <f>IF(計分版!$R$206=0,0,IF(I240&gt;LARGE(計分版!$G$13:$L$13,1),0,1))</f>
        <v>0</v>
      </c>
      <c r="Q240" s="273">
        <f>IF(J240&gt;LARGE(計分版!$G$13:$L$13,2),0,1)</f>
        <v>0</v>
      </c>
      <c r="S240" s="273">
        <f t="shared" si="8"/>
        <v>0</v>
      </c>
    </row>
    <row r="241" spans="1:19">
      <c r="A241" s="16" t="s">
        <v>749</v>
      </c>
      <c r="B241" s="16" t="s">
        <v>750</v>
      </c>
      <c r="E241" s="48">
        <v>3</v>
      </c>
      <c r="F241" s="48">
        <v>5</v>
      </c>
      <c r="G241" s="48">
        <v>2</v>
      </c>
      <c r="H241" s="48">
        <v>2</v>
      </c>
      <c r="I241" s="48">
        <v>3</v>
      </c>
      <c r="J241" s="48">
        <v>3</v>
      </c>
      <c r="L241" s="273">
        <f>IF(E241&gt;計分版!C$13,0,1)</f>
        <v>0</v>
      </c>
      <c r="M241" s="273">
        <f>IF(F241&gt;計分版!D$13,0,1)</f>
        <v>0</v>
      </c>
      <c r="N241" s="273">
        <f>IF(G241&gt;計分版!E$13,0,1)</f>
        <v>0</v>
      </c>
      <c r="O241" s="273">
        <f>IF(H241&gt;計分版!F$13,0,1)</f>
        <v>0</v>
      </c>
      <c r="P241" s="273">
        <f>IF(I241&gt;LARGE(計分版!$G$13:$L$13,1),0,1)</f>
        <v>0</v>
      </c>
      <c r="Q241" s="273">
        <f>IF(J241&gt;LARGE(計分版!$G$13:$L$13,2),0,1)</f>
        <v>0</v>
      </c>
      <c r="S241" s="273">
        <f t="shared" si="8"/>
        <v>0</v>
      </c>
    </row>
    <row r="242" spans="1:19">
      <c r="A242" s="16" t="s">
        <v>751</v>
      </c>
      <c r="B242" s="16" t="s">
        <v>996</v>
      </c>
      <c r="E242" s="48">
        <v>3</v>
      </c>
      <c r="F242" s="48">
        <v>3</v>
      </c>
      <c r="G242" s="48">
        <v>3</v>
      </c>
      <c r="H242" s="48">
        <v>2</v>
      </c>
      <c r="I242" s="48">
        <v>3</v>
      </c>
      <c r="J242" s="48">
        <v>3</v>
      </c>
      <c r="L242" s="273">
        <f>IF(E242&gt;計分版!C$13,0,1)</f>
        <v>0</v>
      </c>
      <c r="M242" s="273">
        <f>IF(F242&gt;計分版!D$13,0,1)</f>
        <v>0</v>
      </c>
      <c r="N242" s="273">
        <f>IF(G242&gt;計分版!E$13,0,1)</f>
        <v>0</v>
      </c>
      <c r="O242" s="273">
        <f>IF(H242&gt;計分版!F$13,0,1)</f>
        <v>0</v>
      </c>
      <c r="P242" s="273">
        <f>IF(I242&gt;LARGE(計分版!$G$13:$L$13,1),0,1)</f>
        <v>0</v>
      </c>
      <c r="Q242" s="273">
        <f>IF(J242&gt;LARGE(計分版!$G$13:$L$13,2),0,1)</f>
        <v>0</v>
      </c>
      <c r="S242" s="273">
        <f t="shared" si="8"/>
        <v>0</v>
      </c>
    </row>
    <row r="243" spans="1:19">
      <c r="A243" s="16" t="s">
        <v>754</v>
      </c>
      <c r="B243" s="16" t="s">
        <v>1000</v>
      </c>
      <c r="E243" s="48">
        <v>3</v>
      </c>
      <c r="F243" s="48">
        <v>3</v>
      </c>
      <c r="G243" s="48">
        <v>3</v>
      </c>
      <c r="H243" s="48">
        <v>2</v>
      </c>
      <c r="I243" s="48">
        <v>3</v>
      </c>
      <c r="J243" s="48">
        <v>3</v>
      </c>
      <c r="L243" s="273">
        <f>IF(E243&gt;計分版!C$13,0,1)</f>
        <v>0</v>
      </c>
      <c r="M243" s="273">
        <f>IF(F243&gt;計分版!D$13,0,1)</f>
        <v>0</v>
      </c>
      <c r="N243" s="273">
        <f>IF(G243&gt;計分版!E$13,0,1)</f>
        <v>0</v>
      </c>
      <c r="O243" s="273">
        <f>IF(H243&gt;計分版!F$13,0,1)</f>
        <v>0</v>
      </c>
      <c r="P243" s="273">
        <f>IF(I243&gt;LARGE(計分版!$G$13:$L$13,1),0,1)</f>
        <v>0</v>
      </c>
      <c r="Q243" s="273">
        <f>IF(J243&gt;LARGE(計分版!$G$13:$L$13,2),0,1)</f>
        <v>0</v>
      </c>
      <c r="S243" s="273">
        <f t="shared" si="8"/>
        <v>0</v>
      </c>
    </row>
    <row r="244" spans="1:19">
      <c r="A244" s="16" t="s">
        <v>757</v>
      </c>
      <c r="B244" s="16" t="s">
        <v>758</v>
      </c>
      <c r="E244" s="48">
        <v>3</v>
      </c>
      <c r="F244" s="48">
        <v>3</v>
      </c>
      <c r="G244" s="48">
        <v>3</v>
      </c>
      <c r="H244" s="48">
        <v>2</v>
      </c>
      <c r="I244" s="48">
        <v>3</v>
      </c>
      <c r="J244" s="48">
        <v>3</v>
      </c>
      <c r="L244" s="273">
        <f>IF(E244&gt;計分版!C$13,0,1)</f>
        <v>0</v>
      </c>
      <c r="M244" s="273">
        <f>IF(F244&gt;計分版!D$13,0,1)</f>
        <v>0</v>
      </c>
      <c r="N244" s="273">
        <f>IF(G244&gt;計分版!E$13,0,1)</f>
        <v>0</v>
      </c>
      <c r="O244" s="273">
        <f>IF(H244&gt;計分版!F$13,0,1)</f>
        <v>0</v>
      </c>
      <c r="P244" s="273">
        <f>IF(I244&gt;LARGE(計分版!$G$13:$L$13,1),0,1)</f>
        <v>0</v>
      </c>
      <c r="Q244" s="273">
        <f>IF(J244&gt;LARGE(計分版!$G$13:$L$13,2),0,1)</f>
        <v>0</v>
      </c>
      <c r="S244" s="273">
        <f t="shared" si="8"/>
        <v>0</v>
      </c>
    </row>
    <row r="245" spans="1:19">
      <c r="A245" s="16" t="s">
        <v>760</v>
      </c>
      <c r="B245" s="16" t="s">
        <v>998</v>
      </c>
      <c r="E245" s="48">
        <v>2</v>
      </c>
      <c r="F245" s="48">
        <v>2</v>
      </c>
      <c r="G245" s="48">
        <v>2</v>
      </c>
      <c r="H245" s="48">
        <v>2</v>
      </c>
      <c r="I245" s="48">
        <v>2</v>
      </c>
      <c r="J245" s="48"/>
      <c r="L245" s="273">
        <f>IF(E245&gt;計分版!$C$13,0,1)</f>
        <v>0</v>
      </c>
      <c r="M245" s="273">
        <f>IF(F245&gt;計分版!$D$13,0,1)</f>
        <v>0</v>
      </c>
      <c r="N245" s="273">
        <f>IF(G245&gt;計分版!$E$13,0,1)</f>
        <v>0</v>
      </c>
      <c r="O245" s="273">
        <f>IF(H245&gt;計分版!$F$13,0,1)</f>
        <v>0</v>
      </c>
      <c r="P245" s="273">
        <f>IF(I245&gt;LARGE(計分版!$G$13:$L$13,1),0,1)</f>
        <v>0</v>
      </c>
      <c r="Q245" s="273"/>
      <c r="S245" s="273">
        <f>L245*M245*N245*O245*P245</f>
        <v>0</v>
      </c>
    </row>
    <row r="246" spans="1:19">
      <c r="A246" s="16" t="s">
        <v>763</v>
      </c>
      <c r="B246" s="16" t="s">
        <v>764</v>
      </c>
      <c r="E246" s="48">
        <v>2</v>
      </c>
      <c r="F246" s="48">
        <v>2</v>
      </c>
      <c r="G246" s="48">
        <v>2</v>
      </c>
      <c r="H246" s="48">
        <v>2</v>
      </c>
      <c r="I246" s="48">
        <v>2</v>
      </c>
      <c r="J246" s="48"/>
      <c r="L246" s="273">
        <f>IF(E246&gt;計分版!C$13,0,1)</f>
        <v>0</v>
      </c>
      <c r="M246" s="273">
        <f>IF(F246&gt;計分版!D$13,0,1)</f>
        <v>0</v>
      </c>
      <c r="N246" s="273">
        <f>IF(G246&gt;計分版!E$13,0,1)</f>
        <v>0</v>
      </c>
      <c r="O246" s="273">
        <f>IF(H246&gt;計分版!F$13,0,1)</f>
        <v>0</v>
      </c>
      <c r="P246" s="273">
        <f>IF(I246&gt;LARGE(計分版!$G$13:$L$13,1),0,1)</f>
        <v>0</v>
      </c>
      <c r="Q246" s="273"/>
      <c r="S246" s="273">
        <f>L246*M246*N246*O246*P246</f>
        <v>0</v>
      </c>
    </row>
    <row r="247" spans="1:19">
      <c r="A247" s="16" t="s">
        <v>766</v>
      </c>
      <c r="B247" s="16" t="s">
        <v>767</v>
      </c>
      <c r="E247" s="48">
        <v>3</v>
      </c>
      <c r="F247" s="48">
        <v>3</v>
      </c>
      <c r="G247" s="48">
        <v>2</v>
      </c>
      <c r="H247" s="48">
        <v>2</v>
      </c>
      <c r="I247" s="48">
        <v>3</v>
      </c>
      <c r="J247" s="48">
        <v>3</v>
      </c>
      <c r="L247" s="273">
        <f>IF(E247&gt;計分版!C$13,0,1)</f>
        <v>0</v>
      </c>
      <c r="M247" s="273">
        <f>IF(F247&gt;計分版!D$13,0,1)</f>
        <v>0</v>
      </c>
      <c r="N247" s="273">
        <f>IF(G247&gt;計分版!E$13,0,1)</f>
        <v>0</v>
      </c>
      <c r="O247" s="273">
        <f>IF(H247&gt;計分版!F$13,0,1)</f>
        <v>0</v>
      </c>
      <c r="P247" s="273">
        <f>IF(I247&gt;LARGE(計分版!$G$13:$L$13,1),0,1)</f>
        <v>0</v>
      </c>
      <c r="Q247" s="273">
        <f>IF(J247&gt;LARGE(計分版!$G$13:$L$13,2),0,1)</f>
        <v>0</v>
      </c>
      <c r="S247" s="273">
        <f t="shared" si="8"/>
        <v>0</v>
      </c>
    </row>
    <row r="248" spans="1:19">
      <c r="A248" s="16" t="s">
        <v>769</v>
      </c>
      <c r="B248" s="16" t="s">
        <v>770</v>
      </c>
      <c r="E248" s="48">
        <v>3</v>
      </c>
      <c r="F248" s="48">
        <v>3</v>
      </c>
      <c r="G248" s="48">
        <v>2</v>
      </c>
      <c r="H248" s="48">
        <v>2</v>
      </c>
      <c r="I248" s="48">
        <v>3</v>
      </c>
      <c r="J248" s="48">
        <v>3</v>
      </c>
      <c r="L248" s="273">
        <f>IF(E248&gt;計分版!C$13,0,1)</f>
        <v>0</v>
      </c>
      <c r="M248" s="273">
        <f>IF(F248&gt;計分版!D$13,0,1)</f>
        <v>0</v>
      </c>
      <c r="N248" s="273">
        <f>IF(G248&gt;計分版!E$13,0,1)</f>
        <v>0</v>
      </c>
      <c r="O248" s="273">
        <f>IF(H248&gt;計分版!F$13,0,1)</f>
        <v>0</v>
      </c>
      <c r="P248" s="273">
        <f>IF(I248&gt;LARGE(計分版!$G$13:$L$13,1),0,1)</f>
        <v>0</v>
      </c>
      <c r="Q248" s="273">
        <f>IF(J248&gt;LARGE(計分版!$G$13:$L$13,2),0,1)</f>
        <v>0</v>
      </c>
      <c r="S248" s="273">
        <f t="shared" si="8"/>
        <v>0</v>
      </c>
    </row>
    <row r="249" spans="1:19">
      <c r="A249" s="16" t="s">
        <v>772</v>
      </c>
      <c r="B249" s="16" t="s">
        <v>773</v>
      </c>
      <c r="E249" s="48">
        <v>3</v>
      </c>
      <c r="F249" s="48">
        <v>3</v>
      </c>
      <c r="G249" s="48">
        <v>2</v>
      </c>
      <c r="H249" s="48">
        <v>2</v>
      </c>
      <c r="I249" s="48">
        <v>3</v>
      </c>
      <c r="J249" s="48">
        <v>3</v>
      </c>
      <c r="L249" s="273">
        <f>IF(E249&gt;計分版!C$13,0,1)</f>
        <v>0</v>
      </c>
      <c r="M249" s="273">
        <f>IF(F249&gt;計分版!D$13,0,1)</f>
        <v>0</v>
      </c>
      <c r="N249" s="273">
        <f>IF(G249&gt;計分版!E$13,0,1)</f>
        <v>0</v>
      </c>
      <c r="O249" s="273">
        <f>IF(H249&gt;計分版!F$13,0,1)</f>
        <v>0</v>
      </c>
      <c r="P249" s="273">
        <f>IF(I249&gt;LARGE(計分版!$G$13:$L$13,1),0,1)</f>
        <v>0</v>
      </c>
      <c r="Q249" s="273">
        <f>IF(J249&gt;LARGE(計分版!$G$13:$L$13,2),0,1)</f>
        <v>0</v>
      </c>
      <c r="S249" s="273">
        <f t="shared" si="8"/>
        <v>0</v>
      </c>
    </row>
    <row r="250" spans="1:19">
      <c r="A250" s="16" t="s">
        <v>775</v>
      </c>
      <c r="B250" s="16" t="s">
        <v>776</v>
      </c>
      <c r="E250" s="48">
        <v>3</v>
      </c>
      <c r="F250" s="48">
        <v>3</v>
      </c>
      <c r="G250" s="48">
        <v>2</v>
      </c>
      <c r="H250" s="48">
        <v>2</v>
      </c>
      <c r="I250" s="48">
        <v>3</v>
      </c>
      <c r="J250" s="48">
        <v>3</v>
      </c>
      <c r="L250" s="273">
        <f>IF(E250&gt;計分版!C$13,0,1)</f>
        <v>0</v>
      </c>
      <c r="M250" s="273">
        <f>IF(F250&gt;計分版!D$13,0,1)</f>
        <v>0</v>
      </c>
      <c r="N250" s="273">
        <f>IF(G250&gt;計分版!E$13,0,1)</f>
        <v>0</v>
      </c>
      <c r="O250" s="273">
        <f>IF(H250&gt;計分版!F$13,0,1)</f>
        <v>0</v>
      </c>
      <c r="P250" s="273">
        <f>IF(I250&gt;LARGE(計分版!$G$13:$L$13,1),0,1)</f>
        <v>0</v>
      </c>
      <c r="Q250" s="273">
        <f>IF(J250&gt;LARGE(計分版!$G$13:$L$13,2),0,1)</f>
        <v>0</v>
      </c>
      <c r="S250" s="273">
        <f t="shared" si="8"/>
        <v>0</v>
      </c>
    </row>
    <row r="251" spans="1:19">
      <c r="A251" s="16" t="s">
        <v>778</v>
      </c>
      <c r="B251" s="16" t="s">
        <v>779</v>
      </c>
      <c r="E251" s="48">
        <v>3</v>
      </c>
      <c r="F251" s="48">
        <v>3</v>
      </c>
      <c r="G251" s="48">
        <v>2</v>
      </c>
      <c r="H251" s="48">
        <v>2</v>
      </c>
      <c r="I251" s="48">
        <v>3</v>
      </c>
      <c r="J251" s="48">
        <v>3</v>
      </c>
      <c r="L251" s="273">
        <f>IF(E251&gt;計分版!C$13,0,1)</f>
        <v>0</v>
      </c>
      <c r="M251" s="273">
        <f>IF(F251&gt;計分版!D$13,0,1)</f>
        <v>0</v>
      </c>
      <c r="N251" s="273">
        <f>IF(G251&gt;計分版!E$13,0,1)</f>
        <v>0</v>
      </c>
      <c r="O251" s="273">
        <f>IF(H251&gt;計分版!F$13,0,1)</f>
        <v>0</v>
      </c>
      <c r="P251" s="273">
        <f>IF(I251&gt;LARGE(計分版!$G$13:$L$13,1),0,1)</f>
        <v>0</v>
      </c>
      <c r="Q251" s="273">
        <f>IF(J251&gt;LARGE(計分版!$G$13:$L$13,2),0,1)</f>
        <v>0</v>
      </c>
      <c r="S251" s="273">
        <f t="shared" si="8"/>
        <v>0</v>
      </c>
    </row>
    <row r="252" spans="1:19">
      <c r="A252" s="16" t="s">
        <v>781</v>
      </c>
      <c r="B252" s="16" t="s">
        <v>782</v>
      </c>
      <c r="E252" s="48">
        <v>3</v>
      </c>
      <c r="F252" s="48">
        <v>3</v>
      </c>
      <c r="G252" s="48">
        <v>2</v>
      </c>
      <c r="H252" s="48">
        <v>2</v>
      </c>
      <c r="I252" s="48">
        <v>3</v>
      </c>
      <c r="J252" s="48">
        <v>3</v>
      </c>
      <c r="L252" s="273">
        <f>IF(E252&gt;計分版!C$13,0,1)</f>
        <v>0</v>
      </c>
      <c r="M252" s="273">
        <f>IF(F252&gt;計分版!D$13,0,1)</f>
        <v>0</v>
      </c>
      <c r="N252" s="273">
        <f>IF(G252&gt;計分版!E$13,0,1)</f>
        <v>0</v>
      </c>
      <c r="O252" s="273">
        <f>IF(H252&gt;計分版!F$13,0,1)</f>
        <v>0</v>
      </c>
      <c r="P252" s="273">
        <f>IF(I252&gt;LARGE(計分版!$G$13:$L$13,1),0,1)</f>
        <v>0</v>
      </c>
      <c r="Q252" s="273">
        <f>IF(J252&gt;LARGE(計分版!$G$13:$L$13,2),0,1)</f>
        <v>0</v>
      </c>
      <c r="S252" s="273">
        <f t="shared" si="8"/>
        <v>0</v>
      </c>
    </row>
    <row r="253" spans="1:19">
      <c r="A253" s="16" t="s">
        <v>784</v>
      </c>
      <c r="B253" s="16" t="s">
        <v>785</v>
      </c>
      <c r="E253" s="48">
        <v>3</v>
      </c>
      <c r="F253" s="48">
        <v>3</v>
      </c>
      <c r="G253" s="48">
        <v>2</v>
      </c>
      <c r="H253" s="48">
        <v>2</v>
      </c>
      <c r="I253" s="48">
        <v>3</v>
      </c>
      <c r="J253" s="48">
        <v>3</v>
      </c>
      <c r="L253" s="273">
        <f>IF(E253&gt;計分版!C$13,0,1)</f>
        <v>0</v>
      </c>
      <c r="M253" s="273">
        <f>IF(F253&gt;計分版!D$13,0,1)</f>
        <v>0</v>
      </c>
      <c r="N253" s="273">
        <f>IF(G253&gt;計分版!E$13,0,1)</f>
        <v>0</v>
      </c>
      <c r="O253" s="273">
        <f>IF(H253&gt;計分版!F$13,0,1)</f>
        <v>0</v>
      </c>
      <c r="P253" s="273">
        <f>IF(I253&gt;LARGE(計分版!$G$13:$L$13,1),0,1)</f>
        <v>0</v>
      </c>
      <c r="Q253" s="273">
        <f>IF(J253&gt;LARGE(計分版!$G$13:$L$13,2),0,1)</f>
        <v>0</v>
      </c>
      <c r="S253" s="273">
        <f t="shared" si="8"/>
        <v>0</v>
      </c>
    </row>
    <row r="254" spans="1:19">
      <c r="A254" s="16" t="s">
        <v>787</v>
      </c>
      <c r="B254" s="16" t="s">
        <v>788</v>
      </c>
      <c r="E254" s="48">
        <v>3</v>
      </c>
      <c r="F254" s="48">
        <v>3</v>
      </c>
      <c r="G254" s="48">
        <v>2</v>
      </c>
      <c r="H254" s="48">
        <v>2</v>
      </c>
      <c r="I254" s="48">
        <v>3</v>
      </c>
      <c r="J254" s="48">
        <v>3</v>
      </c>
      <c r="L254" s="273">
        <f>IF(E254&gt;計分版!C$13,0,1)</f>
        <v>0</v>
      </c>
      <c r="M254" s="273">
        <f>IF(F254&gt;計分版!D$13,0,1)</f>
        <v>0</v>
      </c>
      <c r="N254" s="273">
        <f>IF(G254&gt;計分版!E$13,0,1)</f>
        <v>0</v>
      </c>
      <c r="O254" s="273">
        <f>IF(H254&gt;計分版!F$13,0,1)</f>
        <v>0</v>
      </c>
      <c r="P254" s="273">
        <f>IF(I254&gt;LARGE(計分版!$G$13:$L$13,1),0,1)</f>
        <v>0</v>
      </c>
      <c r="Q254" s="273">
        <f>IF(J254&gt;LARGE(計分版!$G$13:$L$13,2),0,1)</f>
        <v>0</v>
      </c>
      <c r="S254" s="273">
        <f t="shared" ref="S254:S272" si="9">L254*M254*N254*O254*P254</f>
        <v>0</v>
      </c>
    </row>
    <row r="255" spans="1:19">
      <c r="A255" s="16" t="s">
        <v>790</v>
      </c>
      <c r="B255" s="16" t="s">
        <v>791</v>
      </c>
      <c r="E255" s="48">
        <v>3</v>
      </c>
      <c r="F255" s="48">
        <v>3</v>
      </c>
      <c r="G255" s="48">
        <v>2</v>
      </c>
      <c r="H255" s="48">
        <v>2</v>
      </c>
      <c r="I255" s="48">
        <v>3</v>
      </c>
      <c r="J255" s="48">
        <v>3</v>
      </c>
      <c r="L255" s="273">
        <f>IF(E255&gt;計分版!C$13,0,1)</f>
        <v>0</v>
      </c>
      <c r="M255" s="273">
        <f>IF(F255&gt;計分版!D$13,0,1)</f>
        <v>0</v>
      </c>
      <c r="N255" s="273">
        <f>IF(G255&gt;計分版!E$13,0,1)</f>
        <v>0</v>
      </c>
      <c r="O255" s="273">
        <f>IF(H255&gt;計分版!F$13,0,1)</f>
        <v>0</v>
      </c>
      <c r="P255" s="273">
        <f>IF(I255&gt;LARGE(計分版!$G$13:$L$13,1),0,1)</f>
        <v>0</v>
      </c>
      <c r="Q255" s="273">
        <f>IF(J255&gt;LARGE(計分版!$G$13:$L$13,2),0,1)</f>
        <v>0</v>
      </c>
      <c r="S255" s="273">
        <f t="shared" si="9"/>
        <v>0</v>
      </c>
    </row>
    <row r="256" spans="1:19">
      <c r="A256" s="16" t="s">
        <v>793</v>
      </c>
      <c r="B256" s="16" t="s">
        <v>794</v>
      </c>
      <c r="E256" s="48">
        <v>3</v>
      </c>
      <c r="F256" s="48">
        <v>3</v>
      </c>
      <c r="G256" s="48">
        <v>2</v>
      </c>
      <c r="H256" s="48">
        <v>2</v>
      </c>
      <c r="I256" s="48">
        <v>3</v>
      </c>
      <c r="J256" s="48">
        <v>3</v>
      </c>
      <c r="L256" s="273">
        <f>IF(E256&gt;計分版!C$13,0,1)</f>
        <v>0</v>
      </c>
      <c r="M256" s="273">
        <f>IF(F256&gt;計分版!D$13,0,1)</f>
        <v>0</v>
      </c>
      <c r="N256" s="273">
        <f>IF(G256&gt;計分版!E$13,0,1)</f>
        <v>0</v>
      </c>
      <c r="O256" s="273">
        <f>IF(H256&gt;計分版!F$13,0,1)</f>
        <v>0</v>
      </c>
      <c r="P256" s="273">
        <f>IF(I256&gt;LARGE(計分版!$G$13:$L$13,1),0,1)</f>
        <v>0</v>
      </c>
      <c r="Q256" s="273">
        <f>IF(J256&gt;LARGE(計分版!$G$13:$L$13,2),0,1)</f>
        <v>0</v>
      </c>
      <c r="S256" s="273">
        <f t="shared" si="9"/>
        <v>0</v>
      </c>
    </row>
    <row r="257" spans="1:19">
      <c r="A257" s="16" t="s">
        <v>796</v>
      </c>
      <c r="B257" s="16" t="s">
        <v>797</v>
      </c>
      <c r="E257" s="48">
        <v>3</v>
      </c>
      <c r="F257" s="48">
        <v>3</v>
      </c>
      <c r="G257" s="48">
        <v>2</v>
      </c>
      <c r="H257" s="48">
        <v>2</v>
      </c>
      <c r="I257" s="48">
        <v>3</v>
      </c>
      <c r="J257" s="48">
        <v>3</v>
      </c>
      <c r="L257" s="273">
        <f>IF(E257&gt;計分版!C$13,0,1)</f>
        <v>0</v>
      </c>
      <c r="M257" s="273">
        <f>IF(F257&gt;計分版!D$13,0,1)</f>
        <v>0</v>
      </c>
      <c r="N257" s="273">
        <f>IF(G257&gt;計分版!E$13,0,1)</f>
        <v>0</v>
      </c>
      <c r="O257" s="273">
        <f>IF(H257&gt;計分版!F$13,0,1)</f>
        <v>0</v>
      </c>
      <c r="P257" s="273">
        <f>IF(計分版!R211=0,0,IF(I257&gt;LARGE(計分版!$G$13:$L$13,1),0,1))</f>
        <v>0</v>
      </c>
      <c r="Q257" s="273">
        <f>IF(AND(計分版!$T$213=0,計分版!$E$7&gt;3),2,IF(計分版!$T$213=0,0,IF(J257&gt;LARGE(計分版!$G$13:$L$13,2),0,1)))</f>
        <v>0</v>
      </c>
      <c r="S257" s="273">
        <f t="shared" si="9"/>
        <v>0</v>
      </c>
    </row>
    <row r="258" spans="1:19">
      <c r="A258" s="16" t="s">
        <v>799</v>
      </c>
      <c r="B258" s="16" t="s">
        <v>800</v>
      </c>
      <c r="E258" s="48">
        <v>3</v>
      </c>
      <c r="F258" s="48">
        <v>3</v>
      </c>
      <c r="G258" s="48">
        <v>3</v>
      </c>
      <c r="H258" s="48">
        <v>2</v>
      </c>
      <c r="I258" s="48">
        <v>3</v>
      </c>
      <c r="J258" s="48">
        <v>3</v>
      </c>
      <c r="L258" s="273">
        <f>IF(E258&gt;計分版!C$13,0,1)</f>
        <v>0</v>
      </c>
      <c r="M258" s="273">
        <f>IF(F258&gt;計分版!D$13,0,1)</f>
        <v>0</v>
      </c>
      <c r="N258" s="273">
        <f>IF(G258&gt;計分版!E$13,0,1)</f>
        <v>0</v>
      </c>
      <c r="O258" s="273">
        <f>IF(H258&gt;計分版!F$13,0,1)</f>
        <v>0</v>
      </c>
      <c r="P258" s="273">
        <f>IF(計分版!$R$206=0,0,IF(I258&gt;LARGE(計分版!$G$13:$L$13,1),0,1))</f>
        <v>0</v>
      </c>
      <c r="Q258" s="273">
        <f>IF(J258&gt;LARGE(計分版!$G$13:$L$13,2),0,1)</f>
        <v>0</v>
      </c>
      <c r="S258" s="273">
        <f t="shared" si="9"/>
        <v>0</v>
      </c>
    </row>
    <row r="259" spans="1:19">
      <c r="A259" s="16" t="s">
        <v>802</v>
      </c>
      <c r="B259" s="16" t="s">
        <v>1019</v>
      </c>
      <c r="E259" s="48">
        <v>3</v>
      </c>
      <c r="F259" s="48">
        <v>3</v>
      </c>
      <c r="G259" s="48">
        <v>3</v>
      </c>
      <c r="H259" s="48">
        <v>2</v>
      </c>
      <c r="I259" s="48">
        <v>3</v>
      </c>
      <c r="J259" s="48">
        <v>3</v>
      </c>
      <c r="L259" s="273">
        <f>IF(E259&gt;計分版!C$13,0,1)</f>
        <v>0</v>
      </c>
      <c r="M259" s="273">
        <f>IF(F259&gt;計分版!D$13,0,1)</f>
        <v>0</v>
      </c>
      <c r="N259" s="273">
        <f>IF(G259&gt;計分版!E$13,0,1)</f>
        <v>0</v>
      </c>
      <c r="O259" s="273">
        <f>IF(H259&gt;計分版!F$13,0,1)</f>
        <v>0</v>
      </c>
      <c r="P259" s="273">
        <f>IF(計分版!$R$207=0,0,IF(I259&gt;LARGE(計分版!$G$13:$L$13,1),0,1))</f>
        <v>0</v>
      </c>
      <c r="Q259" s="273">
        <f>IF(J259&gt;LARGE(計分版!$G$13:$L$13,2),0,1)</f>
        <v>0</v>
      </c>
      <c r="S259" s="273">
        <f t="shared" si="9"/>
        <v>0</v>
      </c>
    </row>
    <row r="260" spans="1:19">
      <c r="A260" s="16" t="s">
        <v>805</v>
      </c>
      <c r="B260" s="16" t="s">
        <v>806</v>
      </c>
      <c r="E260" s="48">
        <v>3</v>
      </c>
      <c r="F260" s="48">
        <v>3</v>
      </c>
      <c r="G260" s="48">
        <v>3</v>
      </c>
      <c r="H260" s="48">
        <v>2</v>
      </c>
      <c r="I260" s="48">
        <v>3</v>
      </c>
      <c r="J260" s="48">
        <v>3</v>
      </c>
      <c r="L260" s="273">
        <f>IF(E260&gt;計分版!C$13,0,1)</f>
        <v>0</v>
      </c>
      <c r="M260" s="273">
        <f>IF(F260&gt;計分版!D$13,0,1)</f>
        <v>0</v>
      </c>
      <c r="N260" s="273">
        <f>IF(G260&gt;計分版!E$13,0,1)</f>
        <v>0</v>
      </c>
      <c r="O260" s="273">
        <f>IF(H260&gt;計分版!F$13,0,1)</f>
        <v>0</v>
      </c>
      <c r="P260" s="273">
        <f>IF(計分版!$R$213=0,0,IF(I260&gt;LARGE(計分版!$G$13:$L$13,1),0,1))</f>
        <v>0</v>
      </c>
      <c r="Q260" s="273">
        <f>IF(J260&gt;LARGE(計分版!$G$13:$L$13,2),0,1)</f>
        <v>0</v>
      </c>
      <c r="S260" s="273">
        <f t="shared" si="9"/>
        <v>0</v>
      </c>
    </row>
    <row r="261" spans="1:19">
      <c r="A261" s="16" t="s">
        <v>808</v>
      </c>
      <c r="B261" s="16" t="s">
        <v>809</v>
      </c>
      <c r="E261" s="48">
        <v>3</v>
      </c>
      <c r="F261" s="48">
        <v>3</v>
      </c>
      <c r="G261" s="48">
        <v>3</v>
      </c>
      <c r="H261" s="48">
        <v>2</v>
      </c>
      <c r="I261" s="48">
        <v>3</v>
      </c>
      <c r="J261" s="48">
        <v>3</v>
      </c>
      <c r="L261" s="273">
        <f>IF(E261&gt;計分版!C$13,0,1)</f>
        <v>0</v>
      </c>
      <c r="M261" s="273">
        <f>IF(F261&gt;計分版!D$13,0,1)</f>
        <v>0</v>
      </c>
      <c r="N261" s="273">
        <f>IF(G261&gt;計分版!E$13,0,1)</f>
        <v>0</v>
      </c>
      <c r="O261" s="273">
        <f>IF(H261&gt;計分版!F$13,0,1)</f>
        <v>0</v>
      </c>
      <c r="P261" s="273">
        <f>IF(AND(計分版!$R$208=0,計分版!$T$196=0),0,IF(I261&gt;LARGE(計分版!$G$13:$L$13,1),0,1))</f>
        <v>0</v>
      </c>
      <c r="Q261" s="273">
        <f>IF(J261&gt;LARGE(計分版!$G$13:$L$13,2),0,1)</f>
        <v>0</v>
      </c>
      <c r="S261" s="273">
        <f t="shared" si="9"/>
        <v>0</v>
      </c>
    </row>
    <row r="262" spans="1:19">
      <c r="A262" s="16" t="s">
        <v>811</v>
      </c>
      <c r="B262" s="16" t="s">
        <v>812</v>
      </c>
      <c r="E262" s="48">
        <v>3</v>
      </c>
      <c r="F262" s="48">
        <v>3</v>
      </c>
      <c r="G262" s="48">
        <v>3</v>
      </c>
      <c r="H262" s="48">
        <v>2</v>
      </c>
      <c r="I262" s="48">
        <v>3</v>
      </c>
      <c r="J262" s="48">
        <v>3</v>
      </c>
      <c r="L262" s="273">
        <f>IF(E262&gt;計分版!C$13,0,1)</f>
        <v>0</v>
      </c>
      <c r="M262" s="273">
        <f>IF(F262&gt;計分版!D$13,0,1)</f>
        <v>0</v>
      </c>
      <c r="N262" s="273">
        <f>IF(G262&gt;計分版!E$13,0,1)</f>
        <v>0</v>
      </c>
      <c r="O262" s="273">
        <f>IF(H262&gt;計分版!F$13,0,1)</f>
        <v>0</v>
      </c>
      <c r="P262" s="273">
        <f>IF(計分版!$R$209=0,0,IF(I262&gt;LARGE(計分版!$G$13:$L$13,1),0,1))</f>
        <v>0</v>
      </c>
      <c r="Q262" s="273">
        <f>IF(J262&gt;LARGE(計分版!$G$13:$L$13,2),0,1)</f>
        <v>0</v>
      </c>
      <c r="S262" s="273">
        <f t="shared" si="9"/>
        <v>0</v>
      </c>
    </row>
    <row r="263" spans="1:19">
      <c r="A263" s="16" t="s">
        <v>814</v>
      </c>
      <c r="B263" s="16" t="s">
        <v>815</v>
      </c>
      <c r="E263" s="48">
        <v>3</v>
      </c>
      <c r="F263" s="48">
        <v>3</v>
      </c>
      <c r="G263" s="48">
        <v>2</v>
      </c>
      <c r="H263" s="48">
        <v>2</v>
      </c>
      <c r="I263" s="48">
        <v>3</v>
      </c>
      <c r="J263" s="48">
        <v>3</v>
      </c>
      <c r="L263" s="273">
        <f>IF(E263&gt;計分版!C$13,0,1)</f>
        <v>0</v>
      </c>
      <c r="M263" s="273">
        <f>IF(F263&gt;計分版!D$13,0,1)</f>
        <v>0</v>
      </c>
      <c r="N263" s="273">
        <f>IF(G263&gt;計分版!E$13,0,1)</f>
        <v>0</v>
      </c>
      <c r="O263" s="273">
        <f>IF(H263&gt;計分版!F$13,0,1)</f>
        <v>0</v>
      </c>
      <c r="P263" s="273">
        <f>IF(計分版!$R$209=0,0,IF(I263&gt;LARGE(計分版!$G$13:$L$13,1),0,1))</f>
        <v>0</v>
      </c>
      <c r="Q263" s="273">
        <f>IF(J263&gt;LARGE(計分版!$G$13:$L$13,2),0,1)</f>
        <v>0</v>
      </c>
      <c r="S263" s="273">
        <f t="shared" si="9"/>
        <v>0</v>
      </c>
    </row>
    <row r="264" spans="1:19">
      <c r="A264" s="16" t="s">
        <v>817</v>
      </c>
      <c r="B264" s="16" t="s">
        <v>818</v>
      </c>
      <c r="E264" s="48">
        <v>3</v>
      </c>
      <c r="F264" s="48">
        <v>3</v>
      </c>
      <c r="G264" s="48">
        <v>3</v>
      </c>
      <c r="H264" s="48">
        <v>2</v>
      </c>
      <c r="I264" s="48">
        <v>3</v>
      </c>
      <c r="J264" s="48">
        <v>3</v>
      </c>
      <c r="L264" s="273">
        <f>IF(E264&gt;計分版!C$13,0,1)</f>
        <v>0</v>
      </c>
      <c r="M264" s="273">
        <f>IF(F264&gt;計分版!D$13,0,1)</f>
        <v>0</v>
      </c>
      <c r="N264" s="273">
        <f>IF(G264&gt;計分版!E$13,0,1)</f>
        <v>0</v>
      </c>
      <c r="O264" s="273">
        <f>IF(H264&gt;計分版!F$13,0,1)</f>
        <v>0</v>
      </c>
      <c r="P264" s="273">
        <f>IF(計分版!R193=0,0,IF(I264&gt;LARGE(計分版!$G$13:$L$13,1),0,1))</f>
        <v>0</v>
      </c>
      <c r="Q264" s="273">
        <f>IF(J264&gt;LARGE(計分版!$G$13:$L$13,2),0,1)</f>
        <v>0</v>
      </c>
      <c r="S264" s="273">
        <f t="shared" si="9"/>
        <v>0</v>
      </c>
    </row>
    <row r="265" spans="1:19">
      <c r="A265" s="16" t="s">
        <v>820</v>
      </c>
      <c r="B265" s="16" t="s">
        <v>821</v>
      </c>
      <c r="E265" s="48">
        <v>3</v>
      </c>
      <c r="F265" s="48">
        <v>3</v>
      </c>
      <c r="G265" s="48">
        <v>3</v>
      </c>
      <c r="H265" s="48">
        <v>2</v>
      </c>
      <c r="I265" s="48">
        <v>3</v>
      </c>
      <c r="J265" s="48">
        <v>3</v>
      </c>
      <c r="L265" s="273">
        <f>IF(E265&gt;計分版!C$13,0,1)</f>
        <v>0</v>
      </c>
      <c r="M265" s="273">
        <f>IF(F265&gt;計分版!D$13,0,1)</f>
        <v>0</v>
      </c>
      <c r="N265" s="273">
        <f>IF(G265&gt;計分版!E$13,0,1)</f>
        <v>0</v>
      </c>
      <c r="O265" s="273">
        <f>IF(H265&gt;計分版!F$13,0,1)</f>
        <v>0</v>
      </c>
      <c r="P265" s="273">
        <f>IF(計分版!$R$210=0,0,IF(I265&gt;LARGE(計分版!$G$13:$L$13,1),0,1))</f>
        <v>0</v>
      </c>
      <c r="Q265" s="273">
        <f>IF(J265&gt;LARGE(計分版!$G$13:$L$13,2),0,1)</f>
        <v>0</v>
      </c>
      <c r="S265" s="273">
        <f t="shared" si="9"/>
        <v>0</v>
      </c>
    </row>
    <row r="266" spans="1:19">
      <c r="A266" s="16" t="s">
        <v>823</v>
      </c>
      <c r="B266" s="16" t="s">
        <v>824</v>
      </c>
      <c r="E266" s="48">
        <v>3</v>
      </c>
      <c r="F266" s="48">
        <v>3</v>
      </c>
      <c r="G266" s="48">
        <v>3</v>
      </c>
      <c r="H266" s="48">
        <v>2</v>
      </c>
      <c r="I266" s="48">
        <v>3</v>
      </c>
      <c r="J266" s="48">
        <v>3</v>
      </c>
      <c r="L266" s="273">
        <f>IF(E266&gt;計分版!C$13,0,1)</f>
        <v>0</v>
      </c>
      <c r="M266" s="273">
        <f>IF(F266&gt;計分版!D$13,0,1)</f>
        <v>0</v>
      </c>
      <c r="N266" s="273">
        <f>IF(G266&gt;計分版!E$13,0,1)</f>
        <v>0</v>
      </c>
      <c r="O266" s="273">
        <f>IF(H266&gt;計分版!F$13,0,1)</f>
        <v>0</v>
      </c>
      <c r="P266" s="273">
        <f>IF(計分版!$R$210=0,0,IF(I266&gt;LARGE(計分版!$G$13:$L$13,1),0,1))</f>
        <v>0</v>
      </c>
      <c r="Q266" s="273">
        <f>IF(J266&gt;LARGE(計分版!$G$13:$L$13,2),0,1)</f>
        <v>0</v>
      </c>
      <c r="S266" s="273">
        <f t="shared" si="9"/>
        <v>0</v>
      </c>
    </row>
    <row r="267" spans="1:19">
      <c r="A267" s="16" t="s">
        <v>826</v>
      </c>
      <c r="B267" s="16" t="s">
        <v>827</v>
      </c>
      <c r="E267" s="48">
        <v>3</v>
      </c>
      <c r="F267" s="48">
        <v>3</v>
      </c>
      <c r="G267" s="48">
        <v>3</v>
      </c>
      <c r="H267" s="48">
        <v>2</v>
      </c>
      <c r="I267" s="48">
        <v>3</v>
      </c>
      <c r="J267" s="48">
        <v>3</v>
      </c>
      <c r="L267" s="273">
        <f>IF(E267&gt;計分版!C$13,0,1)</f>
        <v>0</v>
      </c>
      <c r="M267" s="273">
        <f>IF(F267&gt;計分版!D$13,0,1)</f>
        <v>0</v>
      </c>
      <c r="N267" s="273">
        <f>IF(G267&gt;計分版!E$13,0,1)</f>
        <v>0</v>
      </c>
      <c r="O267" s="273">
        <f>IF(H267&gt;計分版!F$13,0,1)</f>
        <v>0</v>
      </c>
      <c r="P267" s="273">
        <f>IF(計分版!$R$210=0,0,IF(I267&gt;LARGE(計分版!$G$13:$L$13,1),0,1))</f>
        <v>0</v>
      </c>
      <c r="Q267" s="273">
        <f>IF(J267&gt;LARGE(計分版!$G$13:$L$13,2),0,1)</f>
        <v>0</v>
      </c>
      <c r="S267" s="273">
        <f t="shared" si="9"/>
        <v>0</v>
      </c>
    </row>
    <row r="268" spans="1:19">
      <c r="A268" s="16" t="s">
        <v>829</v>
      </c>
      <c r="B268" s="16" t="s">
        <v>234</v>
      </c>
      <c r="E268" s="48">
        <v>3</v>
      </c>
      <c r="F268" s="48">
        <v>3</v>
      </c>
      <c r="G268" s="48">
        <v>3</v>
      </c>
      <c r="H268" s="48">
        <v>2</v>
      </c>
      <c r="I268" s="48">
        <v>3</v>
      </c>
      <c r="J268" s="48">
        <v>3</v>
      </c>
      <c r="L268" s="273">
        <f>IF(E268&gt;計分版!$C$13,0,1)</f>
        <v>0</v>
      </c>
      <c r="M268" s="273">
        <f>IF(F268&gt;計分版!$D$13,0,1)</f>
        <v>0</v>
      </c>
      <c r="N268" s="273">
        <f>IF(G268&gt;計分版!$E$13,0,1)</f>
        <v>0</v>
      </c>
      <c r="O268" s="273">
        <f>IF(H268&gt;計分版!$F$13,0,1)</f>
        <v>0</v>
      </c>
      <c r="P268" s="273">
        <f>IF(計分版!$R$210=0,0,IF(I268&gt;LARGE(計分版!$G$13:$L$13,1),0,1))</f>
        <v>0</v>
      </c>
      <c r="Q268" s="273">
        <f>IF(J268&gt;LARGE(計分版!$G$13:$L$13,2),0,1)</f>
        <v>0</v>
      </c>
      <c r="S268" s="273">
        <f t="shared" si="9"/>
        <v>0</v>
      </c>
    </row>
    <row r="269" spans="1:19">
      <c r="A269" s="16" t="s">
        <v>831</v>
      </c>
      <c r="B269" s="16" t="s">
        <v>832</v>
      </c>
      <c r="E269" s="48">
        <v>3</v>
      </c>
      <c r="F269" s="48">
        <v>3</v>
      </c>
      <c r="G269" s="48">
        <v>2</v>
      </c>
      <c r="H269" s="48">
        <v>2</v>
      </c>
      <c r="I269" s="48">
        <v>3</v>
      </c>
      <c r="J269" s="48">
        <v>3</v>
      </c>
      <c r="L269" s="273">
        <f>IF(E269&gt;計分版!C$13,0,1)</f>
        <v>0</v>
      </c>
      <c r="M269" s="273">
        <f>IF(F269&gt;計分版!D$13,0,1)</f>
        <v>0</v>
      </c>
      <c r="N269" s="273">
        <f>IF(G269&gt;計分版!E$13,0,1)</f>
        <v>0</v>
      </c>
      <c r="O269" s="273">
        <f>IF(H269&gt;計分版!F$13,0,1)</f>
        <v>0</v>
      </c>
      <c r="P269" s="273">
        <f>IF(OR(計分版!$R$199=0,計分版!S199=0),0,IF(I269&gt;LARGE(計分版!$G$13:$L$13,1),0,1))</f>
        <v>0</v>
      </c>
      <c r="Q269" s="273">
        <f>IF(OR(計分版!$R$199=0,計分版!U199=0),0,IF(J269&gt;LARGE(計分版!$G$13:$L$13,1),0,1))</f>
        <v>0</v>
      </c>
      <c r="S269" s="273">
        <f t="shared" si="9"/>
        <v>0</v>
      </c>
    </row>
    <row r="270" spans="1:19">
      <c r="A270" s="16" t="s">
        <v>834</v>
      </c>
      <c r="B270" s="16" t="s">
        <v>835</v>
      </c>
      <c r="E270" s="48">
        <v>3</v>
      </c>
      <c r="F270" s="48">
        <v>3</v>
      </c>
      <c r="G270" s="48">
        <v>2</v>
      </c>
      <c r="H270" s="48">
        <v>2</v>
      </c>
      <c r="I270" s="48">
        <v>3</v>
      </c>
      <c r="J270" s="48">
        <v>3</v>
      </c>
      <c r="L270" s="273">
        <f>IF(E270&gt;計分版!C$13,0,1)</f>
        <v>0</v>
      </c>
      <c r="M270" s="273">
        <f>IF(F270&gt;計分版!D$13,0,1)</f>
        <v>0</v>
      </c>
      <c r="N270" s="273">
        <f>IF(G270&gt;計分版!E$13,0,1)</f>
        <v>0</v>
      </c>
      <c r="O270" s="273">
        <f>IF(H270&gt;計分版!F$13,0,1)</f>
        <v>0</v>
      </c>
      <c r="P270" s="273">
        <f>IF(計分版!$R$214=0,0,IF(I270&gt;LARGE(計分版!$G$13:$L$13,1),0,1))</f>
        <v>0</v>
      </c>
      <c r="Q270" s="273">
        <f>IF(計分版!$R$212=0,0,IF(J270&gt;LARGE(計分版!$G$13:$L$13,2),0,1))</f>
        <v>0</v>
      </c>
      <c r="S270" s="273">
        <f t="shared" si="9"/>
        <v>0</v>
      </c>
    </row>
    <row r="271" spans="1:19">
      <c r="A271" s="16" t="s">
        <v>837</v>
      </c>
      <c r="B271" s="16" t="s">
        <v>838</v>
      </c>
      <c r="E271" s="48">
        <v>3</v>
      </c>
      <c r="F271" s="48">
        <v>3</v>
      </c>
      <c r="G271" s="48">
        <v>2</v>
      </c>
      <c r="H271" s="48">
        <v>2</v>
      </c>
      <c r="I271" s="48">
        <v>3</v>
      </c>
      <c r="J271" s="48">
        <v>3</v>
      </c>
      <c r="L271" s="273">
        <f>IF(E271&gt;計分版!C$13,0,1)</f>
        <v>0</v>
      </c>
      <c r="M271" s="273">
        <f>IF(F271&gt;計分版!D$13,0,1)</f>
        <v>0</v>
      </c>
      <c r="N271" s="273">
        <f>IF(G271&gt;計分版!E$13,0,1)</f>
        <v>0</v>
      </c>
      <c r="O271" s="273">
        <f>IF(H271&gt;計分版!F$13,0,1)</f>
        <v>0</v>
      </c>
      <c r="P271" s="273">
        <f>IF(計分版!$R$214=0,0,IF(I271&gt;LARGE(計分版!$G$13:$L$13,1),0,1))</f>
        <v>0</v>
      </c>
      <c r="Q271" s="273">
        <f>IF(計分版!$R$212=0,0,IF(J271&gt;LARGE(計分版!$G$13:$L$13,2),0,1))</f>
        <v>0</v>
      </c>
      <c r="S271" s="273">
        <f t="shared" si="9"/>
        <v>0</v>
      </c>
    </row>
    <row r="272" spans="1:19">
      <c r="A272" s="16" t="s">
        <v>840</v>
      </c>
      <c r="B272" s="16" t="s">
        <v>841</v>
      </c>
      <c r="E272" s="48">
        <v>3</v>
      </c>
      <c r="F272" s="48">
        <v>3</v>
      </c>
      <c r="G272" s="48">
        <v>3</v>
      </c>
      <c r="H272" s="48">
        <v>2</v>
      </c>
      <c r="I272" s="48">
        <v>3</v>
      </c>
      <c r="J272" s="48">
        <v>3</v>
      </c>
      <c r="L272" s="273">
        <f>IF(E272&gt;計分版!C$13,0,1)</f>
        <v>0</v>
      </c>
      <c r="M272" s="273">
        <f>IF(F272&gt;計分版!D$13,0,1)</f>
        <v>0</v>
      </c>
      <c r="N272" s="273">
        <f>IF(G272&gt;計分版!E$13,0,1)</f>
        <v>0</v>
      </c>
      <c r="O272" s="273">
        <f>IF(H272&gt;計分版!F$13,0,1)</f>
        <v>0</v>
      </c>
      <c r="P272" s="273">
        <f>IF(計分版!$R$214=0,0,IF(I272&gt;LARGE(計分版!$G$13:$L$13,1),0,1))</f>
        <v>0</v>
      </c>
      <c r="Q272" s="273">
        <f>IF(計分版!$R$212=0,0,IF(J272&gt;LARGE(計分版!$G$13:$L$13,2),0,1))</f>
        <v>0</v>
      </c>
      <c r="S272" s="273">
        <f t="shared" si="9"/>
        <v>0</v>
      </c>
    </row>
    <row r="274" spans="1:26">
      <c r="A274" s="42" t="s">
        <v>963</v>
      </c>
      <c r="B274" s="42" t="s">
        <v>400</v>
      </c>
      <c r="C274" s="42" t="s">
        <v>229</v>
      </c>
      <c r="D274" s="56" t="s">
        <v>394</v>
      </c>
      <c r="E274" s="56" t="s">
        <v>405</v>
      </c>
      <c r="F274" s="56" t="s">
        <v>406</v>
      </c>
      <c r="G274" s="56" t="s">
        <v>407</v>
      </c>
      <c r="H274" s="56" t="s">
        <v>408</v>
      </c>
      <c r="I274" s="56" t="s">
        <v>409</v>
      </c>
      <c r="J274" s="56" t="s">
        <v>410</v>
      </c>
      <c r="K274" s="42"/>
      <c r="L274" s="56" t="s">
        <v>405</v>
      </c>
      <c r="M274" s="56" t="s">
        <v>406</v>
      </c>
      <c r="N274" s="56" t="s">
        <v>407</v>
      </c>
      <c r="O274" s="56" t="s">
        <v>408</v>
      </c>
      <c r="P274" s="56" t="s">
        <v>409</v>
      </c>
      <c r="Q274" s="56"/>
      <c r="R274" s="42"/>
    </row>
    <row r="275" spans="1:26">
      <c r="A275" s="16" t="s">
        <v>1002</v>
      </c>
      <c r="B275" s="16" t="s">
        <v>967</v>
      </c>
      <c r="C275" s="58" t="s">
        <v>214</v>
      </c>
      <c r="D275" s="273">
        <v>46</v>
      </c>
      <c r="E275" s="48">
        <v>3</v>
      </c>
      <c r="F275" s="48">
        <v>3</v>
      </c>
      <c r="G275" s="48">
        <v>2</v>
      </c>
      <c r="H275" s="48">
        <v>2</v>
      </c>
      <c r="I275" s="48">
        <v>2</v>
      </c>
      <c r="L275" s="273">
        <f>IF(E275&gt;計分版!C$13,0,1)</f>
        <v>0</v>
      </c>
      <c r="M275" s="273">
        <f>IF(F275&gt;計分版!D$13,0,1)</f>
        <v>0</v>
      </c>
      <c r="N275" s="273">
        <f>IF(G275&gt;計分版!E$13,0,1)</f>
        <v>0</v>
      </c>
      <c r="O275" s="273">
        <f>IF(H275&gt;計分版!F$13,0,1)</f>
        <v>0</v>
      </c>
      <c r="P275" s="273">
        <f>IF(I275&gt;LARGE(計分版!$G$13:$L$13,1),0,1)</f>
        <v>0</v>
      </c>
      <c r="Q275" s="273"/>
      <c r="R275" s="273"/>
      <c r="S275" s="273">
        <f t="shared" ref="S275:S286" si="10">L275*M275*N275*O275*P275</f>
        <v>0</v>
      </c>
      <c r="V275" s="16"/>
      <c r="W275" s="16"/>
      <c r="X275" s="16"/>
      <c r="Y275" s="16"/>
      <c r="Z275" s="16"/>
    </row>
    <row r="276" spans="1:26">
      <c r="A276" s="16" t="s">
        <v>1013</v>
      </c>
      <c r="B276" s="16" t="s">
        <v>989</v>
      </c>
      <c r="C276" s="58" t="s">
        <v>214</v>
      </c>
      <c r="D276" s="273">
        <v>20</v>
      </c>
      <c r="E276" s="48">
        <v>3</v>
      </c>
      <c r="F276" s="48">
        <v>3</v>
      </c>
      <c r="G276" s="48">
        <v>2</v>
      </c>
      <c r="H276" s="48">
        <v>2</v>
      </c>
      <c r="I276" s="48">
        <v>2</v>
      </c>
      <c r="L276" s="273">
        <f>IF(E276&gt;計分版!C$13,0,1)</f>
        <v>0</v>
      </c>
      <c r="M276" s="273">
        <f>IF(F276&gt;計分版!D$13,0,1)</f>
        <v>0</v>
      </c>
      <c r="N276" s="273">
        <f>IF(G276&gt;計分版!E$13,0,1)</f>
        <v>0</v>
      </c>
      <c r="O276" s="273">
        <f>IF(H276&gt;計分版!F$13,0,1)</f>
        <v>0</v>
      </c>
      <c r="P276" s="273">
        <f>IF(I276&gt;LARGE(計分版!$G$13:$L$13,1),0,1)</f>
        <v>0</v>
      </c>
      <c r="Q276" s="273"/>
      <c r="R276" s="273"/>
      <c r="S276" s="273">
        <f t="shared" si="10"/>
        <v>0</v>
      </c>
      <c r="V276" s="16"/>
      <c r="W276" s="16"/>
      <c r="X276" s="16"/>
      <c r="Y276" s="16"/>
      <c r="Z276" s="16"/>
    </row>
    <row r="277" spans="1:26">
      <c r="A277" s="16" t="s">
        <v>1003</v>
      </c>
      <c r="B277" s="16" t="s">
        <v>969</v>
      </c>
      <c r="C277" s="58" t="s">
        <v>214</v>
      </c>
      <c r="D277" s="273">
        <v>41</v>
      </c>
      <c r="E277" s="48">
        <v>3</v>
      </c>
      <c r="F277" s="48">
        <v>3</v>
      </c>
      <c r="G277" s="48">
        <v>2</v>
      </c>
      <c r="H277" s="48">
        <v>2</v>
      </c>
      <c r="I277" s="48">
        <v>2</v>
      </c>
      <c r="L277" s="273">
        <f>IF(E277&gt;計分版!C$13,0,1)</f>
        <v>0</v>
      </c>
      <c r="M277" s="273">
        <f>IF(F277&gt;計分版!D$13,0,1)</f>
        <v>0</v>
      </c>
      <c r="N277" s="273">
        <f>IF(G277&gt;計分版!E$13,0,1)</f>
        <v>0</v>
      </c>
      <c r="O277" s="273">
        <f>IF(H277&gt;計分版!F$13,0,1)</f>
        <v>0</v>
      </c>
      <c r="P277" s="273">
        <f>IF(I277&gt;LARGE(計分版!$G$13:$L$13,1),0,1)</f>
        <v>0</v>
      </c>
      <c r="Q277" s="273"/>
      <c r="R277" s="273"/>
      <c r="S277" s="273">
        <f t="shared" si="10"/>
        <v>0</v>
      </c>
      <c r="V277" s="16"/>
      <c r="W277" s="16"/>
      <c r="X277" s="16"/>
      <c r="Y277" s="16"/>
      <c r="Z277" s="16"/>
    </row>
    <row r="278" spans="1:26">
      <c r="A278" s="16" t="s">
        <v>1009</v>
      </c>
      <c r="B278" s="16" t="s">
        <v>981</v>
      </c>
      <c r="C278" s="58" t="s">
        <v>214</v>
      </c>
      <c r="D278" s="273">
        <v>144</v>
      </c>
      <c r="E278" s="48">
        <v>3</v>
      </c>
      <c r="F278" s="48">
        <v>3</v>
      </c>
      <c r="G278" s="48">
        <v>2</v>
      </c>
      <c r="H278" s="48">
        <v>2</v>
      </c>
      <c r="I278" s="48">
        <v>2</v>
      </c>
      <c r="L278" s="273">
        <f>IF(E278&gt;計分版!C$13,0,1)</f>
        <v>0</v>
      </c>
      <c r="M278" s="273">
        <f>IF(F278&gt;計分版!D$13,0,1)</f>
        <v>0</v>
      </c>
      <c r="N278" s="273">
        <f>IF(G278&gt;計分版!E$13,0,1)</f>
        <v>0</v>
      </c>
      <c r="O278" s="273">
        <f>IF(H278&gt;計分版!F$13,0,1)</f>
        <v>0</v>
      </c>
      <c r="P278" s="273">
        <f>IF(I278&gt;LARGE(計分版!$G$13:$L$13,1),0,1)</f>
        <v>0</v>
      </c>
      <c r="Q278" s="273"/>
      <c r="R278" s="273"/>
      <c r="S278" s="273">
        <f t="shared" si="10"/>
        <v>0</v>
      </c>
      <c r="V278" s="16"/>
      <c r="W278" s="16"/>
      <c r="X278" s="16"/>
      <c r="Y278" s="16"/>
      <c r="Z278" s="16"/>
    </row>
    <row r="279" spans="1:26">
      <c r="A279" s="16" t="s">
        <v>1010</v>
      </c>
      <c r="B279" s="16" t="s">
        <v>983</v>
      </c>
      <c r="C279" s="58" t="s">
        <v>214</v>
      </c>
      <c r="D279" s="273">
        <v>25</v>
      </c>
      <c r="E279" s="48">
        <v>3</v>
      </c>
      <c r="F279" s="48">
        <v>3</v>
      </c>
      <c r="G279" s="48">
        <v>2</v>
      </c>
      <c r="H279" s="48">
        <v>2</v>
      </c>
      <c r="I279" s="48">
        <v>2</v>
      </c>
      <c r="L279" s="273">
        <f>IF(E279&gt;計分版!C$13,0,1)</f>
        <v>0</v>
      </c>
      <c r="M279" s="273">
        <f>IF(F279&gt;計分版!D$13,0,1)</f>
        <v>0</v>
      </c>
      <c r="N279" s="273">
        <f>IF(G279&gt;計分版!E$13,0,1)</f>
        <v>0</v>
      </c>
      <c r="O279" s="273">
        <f>IF(H279&gt;計分版!F$13,0,1)</f>
        <v>0</v>
      </c>
      <c r="P279" s="273">
        <f>IF(I279&gt;LARGE(計分版!$G$13:$L$13,1),0,1)</f>
        <v>0</v>
      </c>
      <c r="Q279" s="273"/>
      <c r="R279" s="273"/>
      <c r="S279" s="273">
        <f t="shared" si="10"/>
        <v>0</v>
      </c>
      <c r="V279" s="16"/>
      <c r="W279" s="16"/>
      <c r="X279" s="16"/>
      <c r="Y279" s="16"/>
      <c r="Z279" s="16"/>
    </row>
    <row r="280" spans="1:26">
      <c r="A280" s="16" t="s">
        <v>1011</v>
      </c>
      <c r="B280" s="16" t="s">
        <v>985</v>
      </c>
      <c r="C280" s="58" t="s">
        <v>214</v>
      </c>
      <c r="D280" s="273">
        <v>25</v>
      </c>
      <c r="E280" s="48">
        <v>3</v>
      </c>
      <c r="F280" s="48">
        <v>3</v>
      </c>
      <c r="G280" s="48">
        <v>3</v>
      </c>
      <c r="H280" s="48">
        <v>2</v>
      </c>
      <c r="I280" s="48">
        <v>2</v>
      </c>
      <c r="L280" s="273">
        <f>IF(E280&gt;計分版!C$13,0,1)</f>
        <v>0</v>
      </c>
      <c r="M280" s="273">
        <f>IF(F280&gt;計分版!D$13,0,1)</f>
        <v>0</v>
      </c>
      <c r="N280" s="273">
        <f>IF(G280&gt;計分版!E$13,0,1)</f>
        <v>0</v>
      </c>
      <c r="O280" s="273">
        <f>IF(H280&gt;計分版!F$13,0,1)</f>
        <v>0</v>
      </c>
      <c r="P280" s="273">
        <f>IF(I280&gt;LARGE(計分版!$G$13:$L$13,1),0,1)</f>
        <v>0</v>
      </c>
      <c r="Q280" s="273"/>
      <c r="R280" s="273"/>
      <c r="S280" s="273">
        <f t="shared" si="10"/>
        <v>0</v>
      </c>
      <c r="V280" s="16"/>
      <c r="W280" s="16"/>
      <c r="X280" s="16"/>
      <c r="Y280" s="16"/>
      <c r="Z280" s="16"/>
    </row>
    <row r="281" spans="1:26">
      <c r="A281" s="16" t="s">
        <v>1012</v>
      </c>
      <c r="B281" s="16" t="s">
        <v>987</v>
      </c>
      <c r="C281" s="58" t="s">
        <v>214</v>
      </c>
      <c r="D281" s="273">
        <v>98</v>
      </c>
      <c r="E281" s="48">
        <v>3</v>
      </c>
      <c r="F281" s="48">
        <v>3</v>
      </c>
      <c r="G281" s="48">
        <v>2</v>
      </c>
      <c r="H281" s="48">
        <v>2</v>
      </c>
      <c r="I281" s="48">
        <v>2</v>
      </c>
      <c r="L281" s="273">
        <f>IF(E281&gt;計分版!C$13,0,1)</f>
        <v>0</v>
      </c>
      <c r="M281" s="273">
        <f>IF(F281&gt;計分版!D$13,0,1)</f>
        <v>0</v>
      </c>
      <c r="N281" s="273">
        <f>IF(G281&gt;計分版!E$13,0,1)</f>
        <v>0</v>
      </c>
      <c r="O281" s="273">
        <f>IF(H281&gt;計分版!F$13,0,1)</f>
        <v>0</v>
      </c>
      <c r="P281" s="273">
        <f>IF(I281&gt;LARGE(計分版!$G$13:$L$13,1),0,1)</f>
        <v>0</v>
      </c>
      <c r="Q281" s="273"/>
      <c r="R281" s="273"/>
      <c r="S281" s="273">
        <f t="shared" si="10"/>
        <v>0</v>
      </c>
      <c r="V281" s="16"/>
      <c r="W281" s="16"/>
      <c r="X281" s="16"/>
      <c r="Y281" s="16"/>
      <c r="Z281" s="16"/>
    </row>
    <row r="282" spans="1:26">
      <c r="A282" s="16" t="s">
        <v>1004</v>
      </c>
      <c r="B282" s="16" t="s">
        <v>971</v>
      </c>
      <c r="C282" s="58" t="s">
        <v>214</v>
      </c>
      <c r="D282" s="273">
        <v>29</v>
      </c>
      <c r="E282" s="48">
        <v>3</v>
      </c>
      <c r="F282" s="48">
        <v>3</v>
      </c>
      <c r="G282" s="48">
        <v>2</v>
      </c>
      <c r="H282" s="48">
        <v>2</v>
      </c>
      <c r="I282" s="48">
        <v>2</v>
      </c>
      <c r="L282" s="273">
        <f>IF(E282&gt;計分版!C$13,0,1)</f>
        <v>0</v>
      </c>
      <c r="M282" s="273">
        <f>IF(F282&gt;計分版!D$13,0,1)</f>
        <v>0</v>
      </c>
      <c r="N282" s="273">
        <f>IF(G282&gt;計分版!E$13,0,1)</f>
        <v>0</v>
      </c>
      <c r="O282" s="273">
        <f>IF(H282&gt;計分版!F$13,0,1)</f>
        <v>0</v>
      </c>
      <c r="P282" s="273">
        <f>IF(I282&gt;LARGE(計分版!$G$13:$L$13,1),0,1)</f>
        <v>0</v>
      </c>
      <c r="Q282" s="273"/>
      <c r="R282" s="273"/>
      <c r="S282" s="273">
        <f t="shared" si="10"/>
        <v>0</v>
      </c>
      <c r="V282" s="16"/>
      <c r="W282" s="16"/>
      <c r="X282" s="16"/>
      <c r="Y282" s="16"/>
      <c r="Z282" s="16"/>
    </row>
    <row r="283" spans="1:26">
      <c r="A283" s="16" t="s">
        <v>1005</v>
      </c>
      <c r="B283" s="16" t="s">
        <v>973</v>
      </c>
      <c r="C283" s="58" t="s">
        <v>214</v>
      </c>
      <c r="D283" s="273">
        <v>28</v>
      </c>
      <c r="E283" s="48">
        <v>3</v>
      </c>
      <c r="F283" s="48">
        <v>3</v>
      </c>
      <c r="G283" s="48">
        <v>2</v>
      </c>
      <c r="H283" s="48">
        <v>2</v>
      </c>
      <c r="I283" s="48">
        <v>2</v>
      </c>
      <c r="L283" s="273">
        <f>IF(E283&gt;計分版!C$13,0,1)</f>
        <v>0</v>
      </c>
      <c r="M283" s="273">
        <f>IF(F283&gt;計分版!D$13,0,1)</f>
        <v>0</v>
      </c>
      <c r="N283" s="273">
        <f>IF(G283&gt;計分版!E$13,0,1)</f>
        <v>0</v>
      </c>
      <c r="O283" s="273">
        <f>IF(H283&gt;計分版!F$13,0,1)</f>
        <v>0</v>
      </c>
      <c r="P283" s="273">
        <f>IF(I283&gt;LARGE(計分版!$G$13:$L$13,1),0,1)</f>
        <v>0</v>
      </c>
      <c r="Q283" s="273"/>
      <c r="R283" s="273"/>
      <c r="S283" s="273">
        <f t="shared" si="10"/>
        <v>0</v>
      </c>
      <c r="V283" s="16"/>
      <c r="W283" s="16"/>
      <c r="X283" s="16"/>
      <c r="Y283" s="16"/>
      <c r="Z283" s="16"/>
    </row>
    <row r="284" spans="1:26">
      <c r="A284" s="16" t="s">
        <v>1006</v>
      </c>
      <c r="B284" s="16" t="s">
        <v>975</v>
      </c>
      <c r="C284" s="58" t="s">
        <v>214</v>
      </c>
      <c r="D284" s="273">
        <v>31</v>
      </c>
      <c r="E284" s="48">
        <v>3</v>
      </c>
      <c r="F284" s="48">
        <v>3</v>
      </c>
      <c r="G284" s="48">
        <v>2</v>
      </c>
      <c r="H284" s="48">
        <v>2</v>
      </c>
      <c r="I284" s="48">
        <v>2</v>
      </c>
      <c r="L284" s="273">
        <f>IF(E284&gt;計分版!C$13,0,1)</f>
        <v>0</v>
      </c>
      <c r="M284" s="273">
        <f>IF(F284&gt;計分版!D$13,0,1)</f>
        <v>0</v>
      </c>
      <c r="N284" s="273">
        <f>IF(G284&gt;計分版!E$13,0,1)</f>
        <v>0</v>
      </c>
      <c r="O284" s="273">
        <f>IF(H284&gt;計分版!F$13,0,1)</f>
        <v>0</v>
      </c>
      <c r="P284" s="273">
        <f>IF(I284&gt;LARGE(計分版!$G$13:$L$13,1),0,1)</f>
        <v>0</v>
      </c>
      <c r="Q284" s="273"/>
      <c r="R284" s="273"/>
      <c r="S284" s="273">
        <f t="shared" si="10"/>
        <v>0</v>
      </c>
      <c r="V284" s="16"/>
      <c r="W284" s="16"/>
      <c r="X284" s="16"/>
      <c r="Y284" s="16"/>
      <c r="Z284" s="16"/>
    </row>
    <row r="285" spans="1:26">
      <c r="A285" s="16" t="s">
        <v>1007</v>
      </c>
      <c r="B285" s="16" t="s">
        <v>977</v>
      </c>
      <c r="C285" s="58" t="s">
        <v>214</v>
      </c>
      <c r="D285" s="273">
        <v>28</v>
      </c>
      <c r="E285" s="48">
        <v>3</v>
      </c>
      <c r="F285" s="48">
        <v>3</v>
      </c>
      <c r="G285" s="48">
        <v>2</v>
      </c>
      <c r="H285" s="48">
        <v>2</v>
      </c>
      <c r="I285" s="48">
        <v>2</v>
      </c>
      <c r="L285" s="273">
        <f>IF(E285&gt;計分版!C$13,0,1)</f>
        <v>0</v>
      </c>
      <c r="M285" s="273">
        <f>IF(F285&gt;計分版!D$13,0,1)</f>
        <v>0</v>
      </c>
      <c r="N285" s="273">
        <f>IF(G285&gt;計分版!E$13,0,1)</f>
        <v>0</v>
      </c>
      <c r="O285" s="273">
        <f>IF(H285&gt;計分版!F$13,0,1)</f>
        <v>0</v>
      </c>
      <c r="P285" s="273">
        <f>IF(I285&gt;LARGE(計分版!$G$13:$L$13,1),0,1)</f>
        <v>0</v>
      </c>
      <c r="Q285" s="273"/>
      <c r="R285" s="273"/>
      <c r="S285" s="273">
        <f t="shared" si="10"/>
        <v>0</v>
      </c>
      <c r="V285" s="16"/>
      <c r="W285" s="16"/>
      <c r="X285" s="16"/>
      <c r="Y285" s="16"/>
      <c r="Z285" s="16"/>
    </row>
    <row r="286" spans="1:26">
      <c r="A286" s="16" t="s">
        <v>1008</v>
      </c>
      <c r="B286" s="16" t="s">
        <v>979</v>
      </c>
      <c r="C286" s="58" t="s">
        <v>214</v>
      </c>
      <c r="D286" s="273">
        <v>26</v>
      </c>
      <c r="E286" s="48">
        <v>3</v>
      </c>
      <c r="F286" s="48">
        <v>3</v>
      </c>
      <c r="G286" s="48">
        <v>2</v>
      </c>
      <c r="H286" s="48">
        <v>2</v>
      </c>
      <c r="I286" s="48">
        <v>2</v>
      </c>
      <c r="L286" s="273">
        <f>IF(E286&gt;計分版!C$13,0,1)</f>
        <v>0</v>
      </c>
      <c r="M286" s="273">
        <f>IF(F286&gt;計分版!D$13,0,1)</f>
        <v>0</v>
      </c>
      <c r="N286" s="273">
        <f>IF(G286&gt;計分版!E$13,0,1)</f>
        <v>0</v>
      </c>
      <c r="O286" s="273">
        <f>IF(H286&gt;計分版!F$13,0,1)</f>
        <v>0</v>
      </c>
      <c r="P286" s="273">
        <f>IF(I286&gt;LARGE(計分版!$G$13:$L$13,1),0,1)</f>
        <v>0</v>
      </c>
      <c r="Q286" s="273"/>
      <c r="R286" s="273"/>
      <c r="S286" s="273">
        <f t="shared" si="10"/>
        <v>0</v>
      </c>
      <c r="V286" s="16"/>
      <c r="W286" s="16"/>
      <c r="X286" s="16"/>
      <c r="Y286" s="16"/>
      <c r="Z286" s="16"/>
    </row>
    <row r="288" spans="1:26">
      <c r="A288" s="42" t="s">
        <v>1135</v>
      </c>
      <c r="B288" s="42" t="s">
        <v>400</v>
      </c>
      <c r="C288" s="42" t="s">
        <v>229</v>
      </c>
      <c r="D288" s="56" t="s">
        <v>394</v>
      </c>
      <c r="E288" s="56" t="s">
        <v>405</v>
      </c>
      <c r="F288" s="56" t="s">
        <v>406</v>
      </c>
      <c r="G288" s="56" t="s">
        <v>407</v>
      </c>
      <c r="H288" s="56" t="s">
        <v>408</v>
      </c>
      <c r="I288" s="56" t="s">
        <v>409</v>
      </c>
      <c r="J288" s="56" t="s">
        <v>410</v>
      </c>
      <c r="K288" s="42"/>
      <c r="L288" s="56" t="s">
        <v>405</v>
      </c>
      <c r="M288" s="56" t="s">
        <v>406</v>
      </c>
      <c r="N288" s="56" t="s">
        <v>407</v>
      </c>
      <c r="O288" s="56" t="s">
        <v>408</v>
      </c>
      <c r="P288" s="56" t="s">
        <v>409</v>
      </c>
      <c r="Q288" s="56" t="s">
        <v>410</v>
      </c>
    </row>
    <row r="289" spans="1:19">
      <c r="A289" s="16" t="s">
        <v>1037</v>
      </c>
      <c r="B289" s="16" t="s">
        <v>242</v>
      </c>
      <c r="C289" s="16" t="s">
        <v>1129</v>
      </c>
      <c r="E289" s="273">
        <v>3</v>
      </c>
      <c r="F289" s="273">
        <v>3</v>
      </c>
      <c r="G289" s="273">
        <v>2</v>
      </c>
      <c r="H289" s="273">
        <v>2</v>
      </c>
      <c r="I289" s="273">
        <v>3</v>
      </c>
      <c r="J289" s="273">
        <v>3</v>
      </c>
      <c r="L289" s="273">
        <f>IF(E289&gt;計分版!$C$13,0,1)</f>
        <v>0</v>
      </c>
      <c r="M289" s="273">
        <f>IF(F289&gt;計分版!$D$13,0,1)</f>
        <v>0</v>
      </c>
      <c r="N289" s="273">
        <f>IF(G289&gt;計分版!$E$13,0,1)</f>
        <v>0</v>
      </c>
      <c r="O289" s="273">
        <f>IF(H289&gt;計分版!$F$13,0,1)</f>
        <v>0</v>
      </c>
      <c r="P289" s="273">
        <f>IF(I289&gt;LARGE(計分版!$G$13:$L$13,1),0,1)</f>
        <v>0</v>
      </c>
      <c r="Q289" s="273">
        <f>IF(J289&gt;LARGE(計分版!$G$13:$L$13,2),0,1)</f>
        <v>0</v>
      </c>
      <c r="S289" s="273">
        <f t="shared" ref="S289:S317" si="11">L289*M289*N289*O289*P289</f>
        <v>0</v>
      </c>
    </row>
    <row r="290" spans="1:19">
      <c r="A290" s="16" t="s">
        <v>1038</v>
      </c>
      <c r="B290" s="16" t="s">
        <v>1067</v>
      </c>
      <c r="C290" s="16" t="s">
        <v>215</v>
      </c>
      <c r="E290" s="273">
        <v>3</v>
      </c>
      <c r="F290" s="273">
        <v>3</v>
      </c>
      <c r="G290" s="273">
        <v>2</v>
      </c>
      <c r="H290" s="273">
        <v>2</v>
      </c>
      <c r="I290" s="273">
        <v>3</v>
      </c>
      <c r="J290" s="273">
        <v>3</v>
      </c>
      <c r="L290" s="273">
        <f>IF(E290&gt;計分版!$C$13,0,1)</f>
        <v>0</v>
      </c>
      <c r="M290" s="273">
        <f>IF(F290&gt;計分版!$D$13,0,1)</f>
        <v>0</v>
      </c>
      <c r="N290" s="273">
        <f>IF(G290&gt;計分版!$E$13,0,1)</f>
        <v>0</v>
      </c>
      <c r="O290" s="273">
        <f>IF(H290&gt;計分版!$F$13,0,1)</f>
        <v>0</v>
      </c>
      <c r="P290" s="273">
        <f>IF(I290&gt;LARGE(計分版!$G$13:$L$13,1),0,1)</f>
        <v>0</v>
      </c>
      <c r="Q290" s="273">
        <f>IF(J290&gt;LARGE(計分版!$G$13:$L$13,2),0,1)</f>
        <v>0</v>
      </c>
      <c r="S290" s="273">
        <f t="shared" si="11"/>
        <v>0</v>
      </c>
    </row>
    <row r="291" spans="1:19">
      <c r="A291" s="16" t="s">
        <v>1039</v>
      </c>
      <c r="B291" s="16" t="s">
        <v>1069</v>
      </c>
      <c r="E291" s="273">
        <v>3</v>
      </c>
      <c r="F291" s="273">
        <v>3</v>
      </c>
      <c r="G291" s="273">
        <v>2</v>
      </c>
      <c r="H291" s="273">
        <v>2</v>
      </c>
      <c r="I291" s="273">
        <v>3</v>
      </c>
      <c r="J291" s="273">
        <v>3</v>
      </c>
      <c r="L291" s="273">
        <f>IF(E291&gt;計分版!$C$13,0,1)</f>
        <v>0</v>
      </c>
      <c r="M291" s="273">
        <f>IF(F291&gt;計分版!$D$13,0,1)</f>
        <v>0</v>
      </c>
      <c r="N291" s="273">
        <f>IF(G291&gt;計分版!$E$13,0,1)</f>
        <v>0</v>
      </c>
      <c r="O291" s="273">
        <f>IF(H291&gt;計分版!$F$13,0,1)</f>
        <v>0</v>
      </c>
      <c r="P291" s="273">
        <f>IF(I291&gt;LARGE(計分版!$G$13:$L$13,1),0,1)</f>
        <v>0</v>
      </c>
      <c r="Q291" s="273">
        <f>IF(J291&gt;LARGE(計分版!$G$13:$L$13,2),0,1)</f>
        <v>0</v>
      </c>
      <c r="S291" s="273">
        <f t="shared" si="11"/>
        <v>0</v>
      </c>
    </row>
    <row r="292" spans="1:19">
      <c r="A292" s="16" t="s">
        <v>1040</v>
      </c>
      <c r="B292" s="16" t="s">
        <v>1071</v>
      </c>
      <c r="E292" s="273">
        <v>3</v>
      </c>
      <c r="F292" s="273">
        <v>3</v>
      </c>
      <c r="G292" s="273">
        <v>2</v>
      </c>
      <c r="H292" s="273">
        <v>2</v>
      </c>
      <c r="I292" s="273">
        <v>3</v>
      </c>
      <c r="J292" s="273">
        <v>3</v>
      </c>
      <c r="L292" s="273">
        <f>IF(E292&gt;計分版!$C$13,0,1)</f>
        <v>0</v>
      </c>
      <c r="M292" s="273">
        <f>IF(F292&gt;計分版!$D$13,0,1)</f>
        <v>0</v>
      </c>
      <c r="N292" s="273">
        <f>IF(G292&gt;計分版!$E$13,0,1)</f>
        <v>0</v>
      </c>
      <c r="O292" s="273">
        <f>IF(H292&gt;計分版!$F$13,0,1)</f>
        <v>0</v>
      </c>
      <c r="P292" s="273">
        <f>IF(I292&gt;LARGE(計分版!$G$13:$L$13,1),0,1)</f>
        <v>0</v>
      </c>
      <c r="Q292" s="273">
        <f>IF(J292&gt;LARGE(計分版!$G$13:$L$13,2),0,1)</f>
        <v>0</v>
      </c>
      <c r="S292" s="273">
        <f t="shared" si="11"/>
        <v>0</v>
      </c>
    </row>
    <row r="293" spans="1:19">
      <c r="A293" s="16" t="s">
        <v>1041</v>
      </c>
      <c r="B293" s="16" t="s">
        <v>1073</v>
      </c>
      <c r="E293" s="273">
        <v>3</v>
      </c>
      <c r="F293" s="273">
        <v>3</v>
      </c>
      <c r="G293" s="273">
        <v>2</v>
      </c>
      <c r="H293" s="273">
        <v>2</v>
      </c>
      <c r="I293" s="273">
        <v>3</v>
      </c>
      <c r="J293" s="273">
        <v>3</v>
      </c>
      <c r="L293" s="273">
        <f>IF(E293&gt;計分版!$C$13,0,1)</f>
        <v>0</v>
      </c>
      <c r="M293" s="273">
        <f>IF(F293&gt;計分版!$D$13,0,1)</f>
        <v>0</v>
      </c>
      <c r="N293" s="273">
        <f>IF(G293&gt;計分版!$E$13,0,1)</f>
        <v>0</v>
      </c>
      <c r="O293" s="273">
        <f>IF(H293&gt;計分版!$F$13,0,1)</f>
        <v>0</v>
      </c>
      <c r="P293" s="273">
        <f>IF(I293&gt;LARGE(計分版!$G$13:$L$13,1),0,1)</f>
        <v>0</v>
      </c>
      <c r="Q293" s="273">
        <f>IF(J293&gt;LARGE(計分版!$G$13:$L$13,2),0,1)</f>
        <v>0</v>
      </c>
      <c r="S293" s="273">
        <f t="shared" si="11"/>
        <v>0</v>
      </c>
    </row>
    <row r="294" spans="1:19">
      <c r="A294" s="16" t="s">
        <v>1042</v>
      </c>
      <c r="B294" s="16" t="s">
        <v>1075</v>
      </c>
      <c r="E294" s="273">
        <v>3</v>
      </c>
      <c r="F294" s="273">
        <v>3</v>
      </c>
      <c r="G294" s="273">
        <v>2</v>
      </c>
      <c r="H294" s="273">
        <v>2</v>
      </c>
      <c r="I294" s="273">
        <v>3</v>
      </c>
      <c r="J294" s="273">
        <v>3</v>
      </c>
      <c r="L294" s="273">
        <f>IF(E294&gt;計分版!$C$13,0,1)</f>
        <v>0</v>
      </c>
      <c r="M294" s="273">
        <f>IF(F294&gt;計分版!$D$13,0,1)</f>
        <v>0</v>
      </c>
      <c r="N294" s="273">
        <f>IF(G294&gt;計分版!$E$13,0,1)</f>
        <v>0</v>
      </c>
      <c r="O294" s="273">
        <f>IF(H294&gt;計分版!$F$13,0,1)</f>
        <v>0</v>
      </c>
      <c r="P294" s="273">
        <f>IF(I294&gt;LARGE(計分版!$G$13:$L$13,1),0,1)</f>
        <v>0</v>
      </c>
      <c r="Q294" s="273">
        <f>IF(J294&gt;LARGE(計分版!$G$13:$L$13,2),0,1)</f>
        <v>0</v>
      </c>
      <c r="S294" s="273">
        <f t="shared" si="11"/>
        <v>0</v>
      </c>
    </row>
    <row r="295" spans="1:19">
      <c r="A295" s="16" t="s">
        <v>1043</v>
      </c>
      <c r="B295" s="16" t="s">
        <v>1077</v>
      </c>
      <c r="E295" s="273">
        <v>3</v>
      </c>
      <c r="F295" s="273">
        <v>3</v>
      </c>
      <c r="G295" s="273">
        <v>2</v>
      </c>
      <c r="H295" s="273">
        <v>2</v>
      </c>
      <c r="I295" s="273">
        <v>3</v>
      </c>
      <c r="J295" s="273">
        <v>3</v>
      </c>
      <c r="L295" s="273">
        <f>IF(E295&gt;計分版!$C$13,0,1)</f>
        <v>0</v>
      </c>
      <c r="M295" s="273">
        <f>IF(F295&gt;計分版!$D$13,0,1)</f>
        <v>0</v>
      </c>
      <c r="N295" s="273">
        <f>IF(G295&gt;計分版!$E$13,0,1)</f>
        <v>0</v>
      </c>
      <c r="O295" s="273">
        <f>IF(H295&gt;計分版!$F$13,0,1)</f>
        <v>0</v>
      </c>
      <c r="P295" s="273">
        <f>IF(I295&gt;LARGE(計分版!$G$13:$L$13,1),0,1)</f>
        <v>0</v>
      </c>
      <c r="Q295" s="273">
        <f>IF(J295&gt;LARGE(計分版!$G$13:$L$13,2),0,1)</f>
        <v>0</v>
      </c>
      <c r="S295" s="273">
        <f t="shared" si="11"/>
        <v>0</v>
      </c>
    </row>
    <row r="296" spans="1:19">
      <c r="A296" s="16" t="s">
        <v>1044</v>
      </c>
      <c r="B296" s="16" t="s">
        <v>1079</v>
      </c>
      <c r="C296" s="16" t="s">
        <v>1129</v>
      </c>
      <c r="E296" s="273">
        <v>3</v>
      </c>
      <c r="F296" s="273">
        <v>3</v>
      </c>
      <c r="G296" s="273">
        <v>2</v>
      </c>
      <c r="H296" s="273">
        <v>2</v>
      </c>
      <c r="I296" s="273">
        <v>3</v>
      </c>
      <c r="J296" s="273">
        <v>3</v>
      </c>
      <c r="L296" s="273">
        <f>IF(E296&gt;計分版!$C$13,0,1)</f>
        <v>0</v>
      </c>
      <c r="M296" s="273">
        <f>IF(F296&gt;計分版!$D$13,0,1)</f>
        <v>0</v>
      </c>
      <c r="N296" s="273">
        <f>IF(G296&gt;計分版!$E$13,0,1)</f>
        <v>0</v>
      </c>
      <c r="O296" s="273">
        <f>IF(H296&gt;計分版!$F$13,0,1)</f>
        <v>0</v>
      </c>
      <c r="P296" s="273">
        <v>2</v>
      </c>
      <c r="Q296" s="273">
        <f>IF(J296&gt;LARGE(計分版!$G$13:$L$13,2),0,1)</f>
        <v>0</v>
      </c>
      <c r="S296" s="273">
        <f t="shared" si="11"/>
        <v>0</v>
      </c>
    </row>
    <row r="297" spans="1:19">
      <c r="A297" s="16" t="s">
        <v>1045</v>
      </c>
      <c r="B297" s="16" t="s">
        <v>1081</v>
      </c>
      <c r="C297" s="16" t="s">
        <v>1129</v>
      </c>
      <c r="E297" s="273">
        <v>3</v>
      </c>
      <c r="F297" s="273">
        <v>3</v>
      </c>
      <c r="G297" s="273">
        <v>2</v>
      </c>
      <c r="H297" s="273">
        <v>2</v>
      </c>
      <c r="I297" s="273">
        <v>3</v>
      </c>
      <c r="J297" s="273">
        <v>3</v>
      </c>
      <c r="L297" s="273">
        <f>IF(E297&gt;計分版!$C$13,0,1)</f>
        <v>0</v>
      </c>
      <c r="M297" s="273">
        <f>IF(F297&gt;計分版!$D$13,0,1)</f>
        <v>0</v>
      </c>
      <c r="N297" s="273">
        <f>IF(G297&gt;計分版!$E$13,0,1)</f>
        <v>0</v>
      </c>
      <c r="O297" s="273">
        <f>IF(H297&gt;計分版!$F$13,0,1)</f>
        <v>0</v>
      </c>
      <c r="P297" s="273">
        <f>IF(I297&gt;LARGE(計分版!$G$13:$L$13,1),0,1)</f>
        <v>0</v>
      </c>
      <c r="Q297" s="273">
        <f>IF(J297&gt;LARGE(計分版!$G$13:$L$13,2),0,1)</f>
        <v>0</v>
      </c>
      <c r="S297" s="273">
        <f t="shared" si="11"/>
        <v>0</v>
      </c>
    </row>
    <row r="298" spans="1:19">
      <c r="A298" s="16" t="s">
        <v>1046</v>
      </c>
      <c r="B298" s="16" t="s">
        <v>1083</v>
      </c>
      <c r="C298" s="16" t="s">
        <v>1129</v>
      </c>
      <c r="E298" s="273">
        <v>3</v>
      </c>
      <c r="F298" s="273">
        <v>3</v>
      </c>
      <c r="G298" s="273">
        <v>2</v>
      </c>
      <c r="H298" s="273">
        <v>2</v>
      </c>
      <c r="I298" s="273">
        <v>3</v>
      </c>
      <c r="J298" s="273">
        <v>3</v>
      </c>
      <c r="L298" s="273">
        <f>IF(E298&gt;計分版!$C$13,0,1)</f>
        <v>0</v>
      </c>
      <c r="M298" s="273">
        <f>IF(F298&gt;計分版!$D$13,0,1)</f>
        <v>0</v>
      </c>
      <c r="N298" s="273">
        <f>IF(G298&gt;計分版!$E$13,0,1)</f>
        <v>0</v>
      </c>
      <c r="O298" s="273">
        <f>IF(H298&gt;計分版!$F$13,0,1)</f>
        <v>0</v>
      </c>
      <c r="P298" s="273">
        <v>2</v>
      </c>
      <c r="Q298" s="273">
        <f>IF(J298&gt;LARGE(計分版!$G$13:$L$13,2),0,1)</f>
        <v>0</v>
      </c>
      <c r="S298" s="273">
        <f t="shared" si="11"/>
        <v>0</v>
      </c>
    </row>
    <row r="299" spans="1:19">
      <c r="A299" s="16" t="s">
        <v>1047</v>
      </c>
      <c r="B299" s="16" t="s">
        <v>1085</v>
      </c>
      <c r="C299" s="16" t="s">
        <v>1133</v>
      </c>
      <c r="E299" s="273">
        <v>3</v>
      </c>
      <c r="F299" s="273">
        <v>3</v>
      </c>
      <c r="G299" s="273">
        <v>2</v>
      </c>
      <c r="H299" s="273">
        <v>2</v>
      </c>
      <c r="I299" s="273">
        <v>3</v>
      </c>
      <c r="J299" s="273">
        <v>3</v>
      </c>
      <c r="L299" s="273">
        <f>IF(E299&gt;計分版!$C$13,0,1)</f>
        <v>0</v>
      </c>
      <c r="M299" s="273">
        <f>IF(F299&gt;計分版!$D$13,0,1)</f>
        <v>0</v>
      </c>
      <c r="N299" s="273">
        <f>IF(G299&gt;計分版!$E$13,0,1)</f>
        <v>0</v>
      </c>
      <c r="O299" s="273">
        <f>IF(H299&gt;計分版!$F$13,0,1)</f>
        <v>0</v>
      </c>
      <c r="P299" s="273">
        <f>IF(I299&gt;LARGE(計分版!$G$13:$L$13,1),0,1)</f>
        <v>0</v>
      </c>
      <c r="Q299" s="273">
        <f>IF(J299&gt;LARGE(計分版!$G$13:$L$13,2),0,1)</f>
        <v>0</v>
      </c>
      <c r="S299" s="273">
        <f t="shared" si="11"/>
        <v>0</v>
      </c>
    </row>
    <row r="300" spans="1:19">
      <c r="A300" s="16" t="s">
        <v>1048</v>
      </c>
      <c r="B300" s="16" t="s">
        <v>1087</v>
      </c>
      <c r="C300" s="16" t="s">
        <v>1133</v>
      </c>
      <c r="E300" s="273">
        <v>3</v>
      </c>
      <c r="F300" s="273">
        <v>3</v>
      </c>
      <c r="G300" s="273">
        <v>2</v>
      </c>
      <c r="H300" s="273">
        <v>2</v>
      </c>
      <c r="I300" s="273">
        <v>3</v>
      </c>
      <c r="J300" s="273">
        <v>3</v>
      </c>
      <c r="L300" s="273">
        <f>IF(E300&gt;計分版!$C$13,0,1)</f>
        <v>0</v>
      </c>
      <c r="M300" s="273">
        <f>IF(F300&gt;計分版!$D$13,0,1)</f>
        <v>0</v>
      </c>
      <c r="N300" s="273">
        <f>IF(G300&gt;計分版!$E$13,0,1)</f>
        <v>0</v>
      </c>
      <c r="O300" s="273">
        <f>IF(H300&gt;計分版!$F$13,0,1)</f>
        <v>0</v>
      </c>
      <c r="P300" s="273">
        <f>IF(I300&gt;LARGE(計分版!$G$13:$L$13,1),0,1)</f>
        <v>0</v>
      </c>
      <c r="Q300" s="273">
        <f>IF(J300&gt;LARGE(計分版!$G$13:$L$13,2),0,1)</f>
        <v>0</v>
      </c>
      <c r="S300" s="273">
        <f t="shared" si="11"/>
        <v>0</v>
      </c>
    </row>
    <row r="301" spans="1:19">
      <c r="A301" s="16" t="s">
        <v>1049</v>
      </c>
      <c r="B301" s="16" t="s">
        <v>1089</v>
      </c>
      <c r="C301" s="16" t="s">
        <v>1131</v>
      </c>
      <c r="E301" s="273">
        <v>3</v>
      </c>
      <c r="F301" s="273">
        <v>3</v>
      </c>
      <c r="G301" s="273">
        <v>2</v>
      </c>
      <c r="H301" s="273">
        <v>2</v>
      </c>
      <c r="I301" s="273">
        <v>3</v>
      </c>
      <c r="J301" s="273">
        <v>3</v>
      </c>
      <c r="L301" s="273">
        <f>IF(E301&gt;計分版!$C$13,0,1)</f>
        <v>0</v>
      </c>
      <c r="M301" s="273">
        <f>IF(F301&gt;計分版!$D$13,0,1)</f>
        <v>0</v>
      </c>
      <c r="N301" s="273">
        <f>IF(G301&gt;計分版!$E$13,0,1)</f>
        <v>0</v>
      </c>
      <c r="O301" s="273">
        <f>IF(H301&gt;計分版!$F$13,0,1)</f>
        <v>0</v>
      </c>
      <c r="P301" s="273">
        <f>IF(I301&gt;LARGE(計分版!$G$13:$L$13,1),0,1)</f>
        <v>0</v>
      </c>
      <c r="Q301" s="273">
        <f>IF(J301&gt;LARGE(計分版!$G$13:$L$13,2),0,1)</f>
        <v>0</v>
      </c>
      <c r="S301" s="273">
        <f t="shared" si="11"/>
        <v>0</v>
      </c>
    </row>
    <row r="302" spans="1:19">
      <c r="A302" s="16" t="s">
        <v>1050</v>
      </c>
      <c r="B302" s="16" t="s">
        <v>1091</v>
      </c>
      <c r="C302" s="16" t="s">
        <v>1131</v>
      </c>
      <c r="E302" s="273">
        <v>3</v>
      </c>
      <c r="F302" s="273">
        <v>3</v>
      </c>
      <c r="G302" s="273">
        <v>2</v>
      </c>
      <c r="H302" s="273">
        <v>2</v>
      </c>
      <c r="I302" s="273">
        <v>3</v>
      </c>
      <c r="J302" s="273">
        <v>3</v>
      </c>
      <c r="L302" s="273">
        <f>IF(E302&gt;計分版!$C$13,0,1)</f>
        <v>0</v>
      </c>
      <c r="M302" s="273">
        <f>IF(F302&gt;計分版!$D$13,0,1)</f>
        <v>0</v>
      </c>
      <c r="N302" s="273">
        <f>IF(G302&gt;計分版!$E$13,0,1)</f>
        <v>0</v>
      </c>
      <c r="O302" s="273">
        <f>IF(H302&gt;計分版!$F$13,0,1)</f>
        <v>0</v>
      </c>
      <c r="P302" s="273">
        <f>IF(I302&gt;LARGE(計分版!$G$13:$L$13,1),0,1)</f>
        <v>0</v>
      </c>
      <c r="Q302" s="273">
        <f>IF(J302&gt;LARGE(計分版!$G$13:$L$13,2),0,1)</f>
        <v>0</v>
      </c>
      <c r="S302" s="273">
        <f t="shared" si="11"/>
        <v>0</v>
      </c>
    </row>
    <row r="303" spans="1:19">
      <c r="A303" s="16" t="s">
        <v>1051</v>
      </c>
      <c r="B303" s="16" t="s">
        <v>1093</v>
      </c>
      <c r="C303" s="16" t="s">
        <v>1131</v>
      </c>
      <c r="E303" s="273">
        <v>3</v>
      </c>
      <c r="F303" s="273">
        <v>3</v>
      </c>
      <c r="G303" s="273">
        <v>2</v>
      </c>
      <c r="H303" s="273">
        <v>2</v>
      </c>
      <c r="I303" s="273">
        <v>3</v>
      </c>
      <c r="J303" s="273">
        <v>3</v>
      </c>
      <c r="L303" s="273">
        <f>IF(E303&gt;計分版!$C$13,0,1)</f>
        <v>0</v>
      </c>
      <c r="M303" s="273">
        <f>IF(F303&gt;計分版!$D$13,0,1)</f>
        <v>0</v>
      </c>
      <c r="N303" s="273">
        <f>IF(G303&gt;計分版!$E$13,0,1)</f>
        <v>0</v>
      </c>
      <c r="O303" s="273">
        <f>IF(H303&gt;計分版!$F$13,0,1)</f>
        <v>0</v>
      </c>
      <c r="P303" s="273">
        <f>IF(I303&gt;LARGE(計分版!$G$13:$L$13,1),0,1)</f>
        <v>0</v>
      </c>
      <c r="Q303" s="273">
        <f>IF(J303&gt;LARGE(計分版!$G$13:$L$13,2),0,1)</f>
        <v>0</v>
      </c>
      <c r="S303" s="273">
        <f t="shared" si="11"/>
        <v>0</v>
      </c>
    </row>
    <row r="304" spans="1:19">
      <c r="A304" s="16" t="s">
        <v>1052</v>
      </c>
      <c r="B304" s="16" t="s">
        <v>1095</v>
      </c>
      <c r="C304" s="16" t="s">
        <v>214</v>
      </c>
      <c r="E304" s="273">
        <v>3</v>
      </c>
      <c r="F304" s="273">
        <v>3</v>
      </c>
      <c r="G304" s="273">
        <v>2</v>
      </c>
      <c r="H304" s="273">
        <v>2</v>
      </c>
      <c r="I304" s="273">
        <v>3</v>
      </c>
      <c r="J304" s="273">
        <v>3</v>
      </c>
      <c r="L304" s="273">
        <f>IF(E304&gt;計分版!$C$13,0,1)</f>
        <v>0</v>
      </c>
      <c r="M304" s="273">
        <f>IF(F304&gt;計分版!$D$13,0,1)</f>
        <v>0</v>
      </c>
      <c r="N304" s="273">
        <f>IF(G304&gt;計分版!$E$13,0,1)</f>
        <v>0</v>
      </c>
      <c r="O304" s="273">
        <f>IF(H304&gt;計分版!$F$13,0,1)</f>
        <v>0</v>
      </c>
      <c r="P304" s="273">
        <f>IF(I304&gt;LARGE(計分版!$G$13:$L$13,1),0,1)</f>
        <v>0</v>
      </c>
      <c r="Q304" s="273">
        <f>IF(J304&gt;LARGE(計分版!$G$13:$L$13,2),0,1)</f>
        <v>0</v>
      </c>
      <c r="S304" s="273">
        <f t="shared" si="11"/>
        <v>0</v>
      </c>
    </row>
    <row r="305" spans="1:19">
      <c r="A305" s="16" t="s">
        <v>1053</v>
      </c>
      <c r="B305" s="16" t="s">
        <v>1097</v>
      </c>
      <c r="C305" s="16" t="s">
        <v>1131</v>
      </c>
      <c r="E305" s="273">
        <v>3</v>
      </c>
      <c r="F305" s="273">
        <v>3</v>
      </c>
      <c r="G305" s="273">
        <v>2</v>
      </c>
      <c r="H305" s="273">
        <v>2</v>
      </c>
      <c r="I305" s="48">
        <v>3</v>
      </c>
      <c r="J305" s="273">
        <v>3</v>
      </c>
      <c r="L305" s="273">
        <f>IF(E305&gt;計分版!$C$13,0,1)</f>
        <v>0</v>
      </c>
      <c r="M305" s="273">
        <f>IF(F305&gt;計分版!$D$13,0,1)</f>
        <v>0</v>
      </c>
      <c r="N305" s="273">
        <f>IF(G305&gt;計分版!$E$13,0,1)</f>
        <v>0</v>
      </c>
      <c r="O305" s="273">
        <f>IF(H305&gt;計分版!$F$13,0,1)</f>
        <v>0</v>
      </c>
      <c r="P305" s="273">
        <f>IF(計分版!$R$199=0,0,IF(I305&gt;LARGE(計分版!$G$13:$L$13,1),0,1))</f>
        <v>0</v>
      </c>
      <c r="Q305" s="273">
        <f>IF(J305&gt;LARGE(計分版!$G$13:$L$13,2),0,1)</f>
        <v>0</v>
      </c>
      <c r="S305" s="273">
        <f t="shared" si="11"/>
        <v>0</v>
      </c>
    </row>
    <row r="306" spans="1:19">
      <c r="A306" s="16" t="s">
        <v>1054</v>
      </c>
      <c r="B306" s="16" t="s">
        <v>1099</v>
      </c>
      <c r="C306" s="16" t="s">
        <v>1131</v>
      </c>
      <c r="E306" s="273">
        <v>3</v>
      </c>
      <c r="F306" s="273">
        <v>3</v>
      </c>
      <c r="G306" s="273">
        <v>2</v>
      </c>
      <c r="H306" s="273">
        <v>2</v>
      </c>
      <c r="I306" s="48">
        <v>3</v>
      </c>
      <c r="J306" s="273">
        <v>3</v>
      </c>
      <c r="L306" s="273">
        <f>IF(E306&gt;計分版!$C$13,0,1)</f>
        <v>0</v>
      </c>
      <c r="M306" s="273">
        <f>IF(F306&gt;計分版!$D$13,0,1)</f>
        <v>0</v>
      </c>
      <c r="N306" s="273">
        <f>IF(G306&gt;計分版!$E$13,0,1)</f>
        <v>0</v>
      </c>
      <c r="O306" s="273">
        <f>IF(H306&gt;計分版!$F$13,0,1)</f>
        <v>0</v>
      </c>
      <c r="P306" s="273">
        <f>IF(計分版!$R$215=0,0,IF(I306&gt;LARGE(計分版!$G$13:$L$13,1),0,1))</f>
        <v>0</v>
      </c>
      <c r="Q306" s="273">
        <f>IF(J306&gt;LARGE(計分版!$G$13:$L$13,2),0,1)</f>
        <v>0</v>
      </c>
      <c r="S306" s="273">
        <f t="shared" si="11"/>
        <v>0</v>
      </c>
    </row>
    <row r="307" spans="1:19">
      <c r="A307" s="16" t="s">
        <v>1055</v>
      </c>
      <c r="B307" s="16" t="s">
        <v>303</v>
      </c>
      <c r="C307" s="16" t="s">
        <v>1137</v>
      </c>
      <c r="E307" s="273">
        <v>3</v>
      </c>
      <c r="F307" s="273">
        <v>3</v>
      </c>
      <c r="G307" s="273">
        <v>2</v>
      </c>
      <c r="H307" s="273">
        <v>2</v>
      </c>
      <c r="I307" s="273">
        <v>3</v>
      </c>
      <c r="J307" s="273">
        <v>3</v>
      </c>
      <c r="L307" s="273">
        <f>IF(E307&gt;計分版!$C$13,0,1)</f>
        <v>0</v>
      </c>
      <c r="M307" s="273">
        <f>IF(F307&gt;計分版!$D$13,0,1)</f>
        <v>0</v>
      </c>
      <c r="N307" s="273">
        <f>IF(G307&gt;計分版!$E$13,0,1)</f>
        <v>0</v>
      </c>
      <c r="O307" s="273">
        <f>IF(H307&gt;計分版!$F$13,0,1)</f>
        <v>0</v>
      </c>
      <c r="P307" s="273">
        <f>IF(I307&gt;LARGE(計分版!$G$13:$L$13,1),0,1)</f>
        <v>0</v>
      </c>
      <c r="Q307" s="273">
        <f>IF(J307&gt;LARGE(計分版!$G$13:$L$13,2),0,1)</f>
        <v>0</v>
      </c>
      <c r="S307" s="273">
        <f t="shared" si="11"/>
        <v>0</v>
      </c>
    </row>
    <row r="308" spans="1:19">
      <c r="A308" s="16" t="s">
        <v>1056</v>
      </c>
      <c r="B308" s="16" t="s">
        <v>1102</v>
      </c>
      <c r="C308" s="16" t="s">
        <v>1129</v>
      </c>
      <c r="E308" s="273">
        <v>3</v>
      </c>
      <c r="F308" s="273">
        <v>3</v>
      </c>
      <c r="G308" s="273">
        <v>2</v>
      </c>
      <c r="H308" s="273">
        <v>2</v>
      </c>
      <c r="I308" s="273">
        <v>3</v>
      </c>
      <c r="J308" s="273">
        <v>3</v>
      </c>
      <c r="L308" s="273">
        <f>IF(E308&gt;計分版!$C$13,0,1)</f>
        <v>0</v>
      </c>
      <c r="M308" s="273">
        <f>IF(F308&gt;計分版!$D$13,0,1)</f>
        <v>0</v>
      </c>
      <c r="N308" s="273">
        <f>IF(G308&gt;計分版!$E$13,0,1)</f>
        <v>0</v>
      </c>
      <c r="O308" s="273">
        <f>IF(H308&gt;計分版!$F$13,0,1)</f>
        <v>0</v>
      </c>
      <c r="P308" s="273">
        <f>IF(I308&gt;LARGE(計分版!$G$13:$L$13,1),0,1)</f>
        <v>0</v>
      </c>
      <c r="Q308" s="273">
        <f>IF(J308&gt;LARGE(計分版!$G$13:$L$13,2),0,1)</f>
        <v>0</v>
      </c>
      <c r="S308" s="273">
        <f t="shared" si="11"/>
        <v>0</v>
      </c>
    </row>
    <row r="309" spans="1:19">
      <c r="A309" s="16" t="s">
        <v>1057</v>
      </c>
      <c r="B309" s="16" t="s">
        <v>1104</v>
      </c>
      <c r="C309" s="16" t="s">
        <v>1129</v>
      </c>
      <c r="E309" s="273">
        <v>3</v>
      </c>
      <c r="F309" s="273">
        <v>3</v>
      </c>
      <c r="G309" s="273">
        <v>2</v>
      </c>
      <c r="H309" s="273">
        <v>2</v>
      </c>
      <c r="I309" s="273">
        <v>3</v>
      </c>
      <c r="J309" s="273">
        <v>3</v>
      </c>
      <c r="L309" s="273">
        <f>IF(E309&gt;計分版!$C$13,0,1)</f>
        <v>0</v>
      </c>
      <c r="M309" s="273">
        <f>IF(F309&gt;計分版!$D$13,0,1)</f>
        <v>0</v>
      </c>
      <c r="N309" s="273">
        <f>IF(G309&gt;計分版!$E$13,0,1)</f>
        <v>0</v>
      </c>
      <c r="O309" s="273">
        <f>IF(H309&gt;計分版!$F$13,0,1)</f>
        <v>0</v>
      </c>
      <c r="P309" s="273">
        <f>IF(I309&gt;LARGE(計分版!$G$13:$L$13,1),0,1)</f>
        <v>0</v>
      </c>
      <c r="Q309" s="273">
        <f>IF(J309&gt;LARGE(計分版!$G$13:$L$13,2),0,1)</f>
        <v>0</v>
      </c>
      <c r="S309" s="273">
        <f t="shared" si="11"/>
        <v>0</v>
      </c>
    </row>
    <row r="310" spans="1:19">
      <c r="A310" s="16" t="s">
        <v>1058</v>
      </c>
      <c r="B310" s="16" t="s">
        <v>1106</v>
      </c>
      <c r="C310" s="16" t="s">
        <v>1131</v>
      </c>
      <c r="E310" s="273">
        <v>3</v>
      </c>
      <c r="F310" s="273">
        <v>3</v>
      </c>
      <c r="G310" s="273">
        <v>2</v>
      </c>
      <c r="H310" s="273">
        <v>2</v>
      </c>
      <c r="I310" s="273">
        <v>3</v>
      </c>
      <c r="J310" s="273">
        <v>3</v>
      </c>
      <c r="L310" s="273">
        <f>IF(E310&gt;計分版!$C$13,0,1)</f>
        <v>0</v>
      </c>
      <c r="M310" s="273">
        <f>IF(F310&gt;計分版!$D$13,0,1)</f>
        <v>0</v>
      </c>
      <c r="N310" s="273">
        <f>IF(G310&gt;計分版!$E$13,0,1)</f>
        <v>0</v>
      </c>
      <c r="O310" s="273">
        <f>IF(H310&gt;計分版!$F$13,0,1)</f>
        <v>0</v>
      </c>
      <c r="P310" s="273">
        <f>IF(I310&gt;LARGE(計分版!$G$13:$L$13,1),0,1)</f>
        <v>0</v>
      </c>
      <c r="Q310" s="273">
        <f>IF(J310&gt;LARGE(計分版!$G$13:$L$13,2),0,1)</f>
        <v>0</v>
      </c>
      <c r="S310" s="273">
        <f t="shared" si="11"/>
        <v>0</v>
      </c>
    </row>
    <row r="311" spans="1:19">
      <c r="A311" s="16" t="s">
        <v>1059</v>
      </c>
      <c r="B311" s="16" t="s">
        <v>1108</v>
      </c>
      <c r="C311" s="16" t="s">
        <v>1131</v>
      </c>
      <c r="E311" s="273">
        <v>3</v>
      </c>
      <c r="F311" s="273">
        <v>3</v>
      </c>
      <c r="G311" s="273">
        <v>2</v>
      </c>
      <c r="H311" s="273">
        <v>2</v>
      </c>
      <c r="I311" s="273">
        <v>3</v>
      </c>
      <c r="J311" s="273">
        <v>3</v>
      </c>
      <c r="L311" s="273">
        <f>IF(E311&gt;計分版!$C$13,0,1)</f>
        <v>0</v>
      </c>
      <c r="M311" s="273">
        <f>IF(F311&gt;計分版!$D$13,0,1)</f>
        <v>0</v>
      </c>
      <c r="N311" s="273">
        <f>IF(G311&gt;計分版!$E$13,0,1)</f>
        <v>0</v>
      </c>
      <c r="O311" s="273">
        <f>IF(H311&gt;計分版!$F$13,0,1)</f>
        <v>0</v>
      </c>
      <c r="P311" s="273">
        <f>IF(I311&gt;LARGE(計分版!$G$13:$L$13,1),0,1)</f>
        <v>0</v>
      </c>
      <c r="Q311" s="273">
        <f>IF(J311&gt;LARGE(計分版!$G$13:$L$13,2),0,1)</f>
        <v>0</v>
      </c>
      <c r="S311" s="273">
        <f t="shared" si="11"/>
        <v>0</v>
      </c>
    </row>
    <row r="312" spans="1:19">
      <c r="A312" s="16" t="s">
        <v>1060</v>
      </c>
      <c r="B312" s="16" t="s">
        <v>1110</v>
      </c>
      <c r="C312" s="16" t="s">
        <v>1129</v>
      </c>
      <c r="E312" s="273">
        <v>3</v>
      </c>
      <c r="F312" s="273">
        <v>3</v>
      </c>
      <c r="G312" s="273">
        <v>2</v>
      </c>
      <c r="H312" s="273">
        <v>2</v>
      </c>
      <c r="I312" s="273">
        <v>3</v>
      </c>
      <c r="J312" s="273">
        <v>3</v>
      </c>
      <c r="L312" s="273">
        <f>IF(E312&gt;計分版!$C$13,0,1)</f>
        <v>0</v>
      </c>
      <c r="M312" s="273">
        <f>IF(F312&gt;計分版!$D$13,0,1)</f>
        <v>0</v>
      </c>
      <c r="N312" s="273">
        <f>IF(G312&gt;計分版!$E$13,0,1)</f>
        <v>0</v>
      </c>
      <c r="O312" s="273">
        <f>IF(H312&gt;計分版!$F$13,0,1)</f>
        <v>0</v>
      </c>
      <c r="P312" s="273">
        <f>IF(I312&gt;LARGE(計分版!$G$13:$L$13,1),0,1)</f>
        <v>0</v>
      </c>
      <c r="Q312" s="273">
        <f>IF(J312&gt;LARGE(計分版!$G$13:$L$13,2),0,1)</f>
        <v>0</v>
      </c>
      <c r="S312" s="273">
        <f t="shared" si="11"/>
        <v>0</v>
      </c>
    </row>
    <row r="313" spans="1:19">
      <c r="A313" s="16" t="s">
        <v>1061</v>
      </c>
      <c r="B313" s="16" t="s">
        <v>1112</v>
      </c>
      <c r="C313" s="16" t="s">
        <v>215</v>
      </c>
      <c r="E313" s="273">
        <v>3</v>
      </c>
      <c r="F313" s="273">
        <v>3</v>
      </c>
      <c r="G313" s="273">
        <v>2</v>
      </c>
      <c r="H313" s="273">
        <v>2</v>
      </c>
      <c r="I313" s="273">
        <v>3</v>
      </c>
      <c r="J313" s="273">
        <v>3</v>
      </c>
      <c r="L313" s="273">
        <f>IF(E313&gt;計分版!$C$13,0,1)</f>
        <v>0</v>
      </c>
      <c r="M313" s="273">
        <f>IF(F313&gt;計分版!$D$13,0,1)</f>
        <v>0</v>
      </c>
      <c r="N313" s="273">
        <f>IF(G313&gt;計分版!$E$13,0,1)</f>
        <v>0</v>
      </c>
      <c r="O313" s="273">
        <f>IF(H313&gt;計分版!$F$13,0,1)</f>
        <v>0</v>
      </c>
      <c r="P313" s="273">
        <f>IF(I313&gt;LARGE(計分版!$G$13:$L$13,1),0,1)</f>
        <v>0</v>
      </c>
      <c r="Q313" s="273">
        <f>IF(J313&gt;LARGE(計分版!$G$13:$L$13,2),0,1)</f>
        <v>0</v>
      </c>
      <c r="S313" s="273">
        <f t="shared" si="11"/>
        <v>0</v>
      </c>
    </row>
    <row r="314" spans="1:19">
      <c r="A314" s="16" t="s">
        <v>1062</v>
      </c>
      <c r="B314" s="16" t="s">
        <v>1114</v>
      </c>
      <c r="C314" s="16" t="s">
        <v>1129</v>
      </c>
      <c r="E314" s="273">
        <v>3</v>
      </c>
      <c r="F314" s="273">
        <v>3</v>
      </c>
      <c r="G314" s="273">
        <v>2</v>
      </c>
      <c r="H314" s="273">
        <v>2</v>
      </c>
      <c r="I314" s="273">
        <v>3</v>
      </c>
      <c r="J314" s="273">
        <v>3</v>
      </c>
      <c r="L314" s="273">
        <f>IF(E314&gt;計分版!$C$13,0,1)</f>
        <v>0</v>
      </c>
      <c r="M314" s="273">
        <f>IF(F314&gt;計分版!$D$13,0,1)</f>
        <v>0</v>
      </c>
      <c r="N314" s="273">
        <f>IF(G314&gt;計分版!$E$13,0,1)</f>
        <v>0</v>
      </c>
      <c r="O314" s="273">
        <f>IF(H314&gt;計分版!$F$13,0,1)</f>
        <v>0</v>
      </c>
      <c r="P314" s="273">
        <f>IF(I314&gt;LARGE(計分版!$G$13:$L$13,1),0,1)</f>
        <v>0</v>
      </c>
      <c r="Q314" s="273">
        <f>IF(J314&gt;LARGE(計分版!$G$13:$L$13,2),0,1)</f>
        <v>0</v>
      </c>
      <c r="S314" s="273">
        <f t="shared" si="11"/>
        <v>0</v>
      </c>
    </row>
    <row r="315" spans="1:19">
      <c r="A315" s="16" t="s">
        <v>1063</v>
      </c>
      <c r="B315" s="16" t="s">
        <v>1116</v>
      </c>
      <c r="C315" s="16" t="s">
        <v>1129</v>
      </c>
      <c r="E315" s="273">
        <v>3</v>
      </c>
      <c r="F315" s="273">
        <v>3</v>
      </c>
      <c r="G315" s="273">
        <v>2</v>
      </c>
      <c r="H315" s="273">
        <v>2</v>
      </c>
      <c r="I315" s="273">
        <v>3</v>
      </c>
      <c r="J315" s="273">
        <v>3</v>
      </c>
      <c r="L315" s="273">
        <f>IF(E315&gt;計分版!$C$13,0,1)</f>
        <v>0</v>
      </c>
      <c r="M315" s="273">
        <f>IF(F315&gt;計分版!$D$13,0,1)</f>
        <v>0</v>
      </c>
      <c r="N315" s="273">
        <f>IF(G315&gt;計分版!$E$13,0,1)</f>
        <v>0</v>
      </c>
      <c r="O315" s="273">
        <f>IF(H315&gt;計分版!$F$13,0,1)</f>
        <v>0</v>
      </c>
      <c r="P315" s="273">
        <f>IF(I315&gt;LARGE(計分版!$G$13:$L$13,1),0,1)</f>
        <v>0</v>
      </c>
      <c r="Q315" s="273">
        <f>IF(J315&gt;LARGE(計分版!$G$13:$L$13,2),0,1)</f>
        <v>0</v>
      </c>
      <c r="S315" s="273">
        <f t="shared" si="11"/>
        <v>0</v>
      </c>
    </row>
    <row r="316" spans="1:19">
      <c r="A316" s="16" t="s">
        <v>1064</v>
      </c>
      <c r="B316" s="16" t="s">
        <v>1118</v>
      </c>
      <c r="C316" s="16" t="s">
        <v>214</v>
      </c>
      <c r="E316" s="273">
        <v>3</v>
      </c>
      <c r="F316" s="273">
        <v>3</v>
      </c>
      <c r="G316" s="273">
        <v>2</v>
      </c>
      <c r="H316" s="273">
        <v>2</v>
      </c>
      <c r="I316" s="273">
        <v>3</v>
      </c>
      <c r="J316" s="273">
        <v>3</v>
      </c>
      <c r="L316" s="273">
        <f>IF(E316&gt;計分版!$C$13,0,1)</f>
        <v>0</v>
      </c>
      <c r="M316" s="273">
        <f>IF(F316&gt;計分版!$D$13,0,1)</f>
        <v>0</v>
      </c>
      <c r="N316" s="273">
        <f>IF(G316&gt;計分版!$E$13,0,1)</f>
        <v>0</v>
      </c>
      <c r="O316" s="273">
        <f>IF(H316&gt;計分版!$F$13,0,1)</f>
        <v>0</v>
      </c>
      <c r="P316" s="273">
        <f>IF(I316&gt;LARGE(計分版!$G$13:$L$13,1),0,1)</f>
        <v>0</v>
      </c>
      <c r="Q316" s="273">
        <f>IF(J316&gt;LARGE(計分版!$G$13:$L$13,2),0,1)</f>
        <v>0</v>
      </c>
      <c r="S316" s="273">
        <f t="shared" si="11"/>
        <v>0</v>
      </c>
    </row>
    <row r="317" spans="1:19">
      <c r="A317" s="16" t="s">
        <v>1065</v>
      </c>
      <c r="B317" s="16" t="s">
        <v>1120</v>
      </c>
      <c r="C317" s="16" t="s">
        <v>1133</v>
      </c>
      <c r="E317" s="273">
        <v>3</v>
      </c>
      <c r="F317" s="273">
        <v>3</v>
      </c>
      <c r="G317" s="273">
        <v>2</v>
      </c>
      <c r="H317" s="273">
        <v>2</v>
      </c>
      <c r="I317" s="273">
        <v>3</v>
      </c>
      <c r="J317" s="273">
        <v>3</v>
      </c>
      <c r="L317" s="273">
        <f>IF(E317&gt;計分版!$C$13,0,1)</f>
        <v>0</v>
      </c>
      <c r="M317" s="273">
        <f>IF(F317&gt;計分版!$D$13,0,1)</f>
        <v>0</v>
      </c>
      <c r="N317" s="273">
        <f>IF(G317&gt;計分版!$E$13,0,1)</f>
        <v>0</v>
      </c>
      <c r="O317" s="273">
        <f>IF(H317&gt;計分版!$F$13,0,1)</f>
        <v>0</v>
      </c>
      <c r="P317" s="273">
        <f>IF(I317&gt;LARGE(計分版!$G$13:$L$13,1),0,1)</f>
        <v>0</v>
      </c>
      <c r="Q317" s="273">
        <f>IF(J317&gt;LARGE(計分版!$G$13:$L$13,2),0,1)</f>
        <v>0</v>
      </c>
      <c r="S317" s="273">
        <f t="shared" si="11"/>
        <v>0</v>
      </c>
    </row>
    <row r="319" spans="1:19">
      <c r="A319" s="16" t="s">
        <v>1386</v>
      </c>
    </row>
    <row r="320" spans="1:19">
      <c r="A320" s="16" t="s">
        <v>1250</v>
      </c>
      <c r="B320" s="16" t="s">
        <v>950</v>
      </c>
      <c r="C320" s="16" t="s">
        <v>1379</v>
      </c>
      <c r="E320" s="273">
        <v>3</v>
      </c>
      <c r="F320" s="273">
        <v>3</v>
      </c>
      <c r="G320" s="273">
        <v>2</v>
      </c>
      <c r="H320" s="273">
        <v>2</v>
      </c>
      <c r="I320" s="273">
        <v>2</v>
      </c>
      <c r="L320" s="273">
        <f>IF(E320&gt;計分版!C$13,0,1)</f>
        <v>0</v>
      </c>
      <c r="M320" s="273">
        <f>IF(F320&gt;計分版!D$13,0,1)</f>
        <v>0</v>
      </c>
      <c r="N320" s="273">
        <f>IF(G320&gt;計分版!E$13,0,1)</f>
        <v>0</v>
      </c>
      <c r="O320" s="273">
        <f>IF(H320&gt;計分版!F$13,0,1)</f>
        <v>0</v>
      </c>
      <c r="P320" s="273">
        <f>IF(I320&gt;LARGE(計分版!$G$13:$L$13,1),0,1)</f>
        <v>0</v>
      </c>
      <c r="S320" s="273">
        <f>L320*M320*N320*O320*P320</f>
        <v>0</v>
      </c>
    </row>
    <row r="321" spans="1:19">
      <c r="A321" s="16" t="s">
        <v>1252</v>
      </c>
      <c r="B321" s="16" t="s">
        <v>1253</v>
      </c>
      <c r="C321" s="16" t="s">
        <v>1379</v>
      </c>
      <c r="E321" s="273">
        <v>3</v>
      </c>
      <c r="F321" s="273">
        <v>3</v>
      </c>
      <c r="G321" s="273">
        <v>2</v>
      </c>
      <c r="H321" s="273">
        <v>2</v>
      </c>
      <c r="I321" s="273">
        <v>2</v>
      </c>
      <c r="L321" s="273">
        <f>IF(E321&gt;計分版!C$13,0,1)</f>
        <v>0</v>
      </c>
      <c r="M321" s="273">
        <f>IF(F321&gt;計分版!D$13,0,1)</f>
        <v>0</v>
      </c>
      <c r="N321" s="273">
        <f>IF(G321&gt;計分版!E$13,0,1)</f>
        <v>0</v>
      </c>
      <c r="O321" s="273">
        <f>IF(H321&gt;計分版!F$13,0,1)</f>
        <v>0</v>
      </c>
      <c r="P321" s="273">
        <f>IF(I321&gt;LARGE(計分版!$G$13:$L$13,1),0,1)</f>
        <v>0</v>
      </c>
      <c r="S321" s="273">
        <f t="shared" ref="S321:S353" si="12">L321*M321*N321*O321*P321</f>
        <v>0</v>
      </c>
    </row>
    <row r="322" spans="1:19">
      <c r="A322" s="16" t="s">
        <v>1255</v>
      </c>
      <c r="B322" s="16" t="s">
        <v>1256</v>
      </c>
      <c r="C322" s="16" t="s">
        <v>1379</v>
      </c>
      <c r="E322" s="273">
        <v>3</v>
      </c>
      <c r="F322" s="273">
        <v>3</v>
      </c>
      <c r="G322" s="273">
        <v>2</v>
      </c>
      <c r="H322" s="273">
        <v>2</v>
      </c>
      <c r="I322" s="273">
        <v>2</v>
      </c>
      <c r="L322" s="273">
        <f>IF(E322&gt;計分版!C$13,0,1)</f>
        <v>0</v>
      </c>
      <c r="M322" s="273">
        <f>IF(F322&gt;計分版!D$13,0,1)</f>
        <v>0</v>
      </c>
      <c r="N322" s="273">
        <f>IF(G322&gt;計分版!E$13,0,1)</f>
        <v>0</v>
      </c>
      <c r="O322" s="273">
        <f>IF(H322&gt;計分版!F$13,0,1)</f>
        <v>0</v>
      </c>
      <c r="P322" s="273">
        <f>IF(I322&gt;LARGE(計分版!$G$13:$L$13,1),0,1)</f>
        <v>0</v>
      </c>
      <c r="S322" s="273">
        <f t="shared" si="12"/>
        <v>0</v>
      </c>
    </row>
    <row r="323" spans="1:19">
      <c r="A323" s="16" t="s">
        <v>1258</v>
      </c>
      <c r="B323" s="16" t="s">
        <v>1259</v>
      </c>
      <c r="C323" s="16" t="s">
        <v>1379</v>
      </c>
      <c r="E323" s="273">
        <v>3</v>
      </c>
      <c r="F323" s="273">
        <v>3</v>
      </c>
      <c r="G323" s="273">
        <v>2</v>
      </c>
      <c r="H323" s="273">
        <v>2</v>
      </c>
      <c r="I323" s="273">
        <v>2</v>
      </c>
      <c r="L323" s="273">
        <f>IF(E323&gt;計分版!C$13,0,1)</f>
        <v>0</v>
      </c>
      <c r="M323" s="273">
        <f>IF(F323&gt;計分版!D$13,0,1)</f>
        <v>0</v>
      </c>
      <c r="N323" s="273">
        <f>IF(G323&gt;計分版!E$13,0,1)</f>
        <v>0</v>
      </c>
      <c r="O323" s="273">
        <f>IF(H323&gt;計分版!F$13,0,1)</f>
        <v>0</v>
      </c>
      <c r="P323" s="273">
        <f>IF(I323&gt;LARGE(計分版!$G$13:$L$13,1),0,1)</f>
        <v>0</v>
      </c>
      <c r="S323" s="273">
        <f t="shared" si="12"/>
        <v>0</v>
      </c>
    </row>
    <row r="324" spans="1:19">
      <c r="A324" s="16" t="s">
        <v>1261</v>
      </c>
      <c r="B324" s="16" t="s">
        <v>1262</v>
      </c>
      <c r="C324" s="16" t="s">
        <v>1379</v>
      </c>
      <c r="E324" s="273">
        <v>3</v>
      </c>
      <c r="F324" s="273">
        <v>3</v>
      </c>
      <c r="G324" s="273">
        <v>2</v>
      </c>
      <c r="H324" s="273">
        <v>2</v>
      </c>
      <c r="I324" s="273">
        <v>2</v>
      </c>
      <c r="L324" s="273">
        <f>IF(E324&gt;計分版!C$13,0,1)</f>
        <v>0</v>
      </c>
      <c r="M324" s="273">
        <f>IF(F324&gt;計分版!D$13,0,1)</f>
        <v>0</v>
      </c>
      <c r="N324" s="273">
        <f>IF(G324&gt;計分版!E$13,0,1)</f>
        <v>0</v>
      </c>
      <c r="O324" s="273">
        <f>IF(H324&gt;計分版!F$13,0,1)</f>
        <v>0</v>
      </c>
      <c r="P324" s="273">
        <f>IF(I324&gt;LARGE(計分版!$G$13:$L$13,1),0,1)</f>
        <v>0</v>
      </c>
      <c r="S324" s="273">
        <f t="shared" si="12"/>
        <v>0</v>
      </c>
    </row>
    <row r="325" spans="1:19">
      <c r="A325" s="16" t="s">
        <v>1264</v>
      </c>
      <c r="B325" s="16" t="s">
        <v>1265</v>
      </c>
      <c r="C325" s="16" t="s">
        <v>1379</v>
      </c>
      <c r="E325" s="273">
        <v>3</v>
      </c>
      <c r="F325" s="273">
        <v>3</v>
      </c>
      <c r="G325" s="273">
        <v>2</v>
      </c>
      <c r="H325" s="273">
        <v>2</v>
      </c>
      <c r="I325" s="273">
        <v>2</v>
      </c>
      <c r="L325" s="273">
        <f>IF(E325&gt;計分版!C$13,0,1)</f>
        <v>0</v>
      </c>
      <c r="M325" s="273">
        <f>IF(F325&gt;計分版!D$13,0,1)</f>
        <v>0</v>
      </c>
      <c r="N325" s="273">
        <f>IF(G325&gt;計分版!E$13,0,1)</f>
        <v>0</v>
      </c>
      <c r="O325" s="273">
        <f>IF(H325&gt;計分版!F$13,0,1)</f>
        <v>0</v>
      </c>
      <c r="P325" s="273">
        <f>IF(I325&gt;LARGE(計分版!$G$13:$L$13,1),0,1)</f>
        <v>0</v>
      </c>
      <c r="S325" s="273">
        <f t="shared" si="12"/>
        <v>0</v>
      </c>
    </row>
    <row r="326" spans="1:19">
      <c r="A326" s="16" t="s">
        <v>1267</v>
      </c>
      <c r="B326" s="16" t="s">
        <v>1268</v>
      </c>
      <c r="C326" s="16" t="s">
        <v>1379</v>
      </c>
      <c r="E326" s="273">
        <v>3</v>
      </c>
      <c r="F326" s="273">
        <v>3</v>
      </c>
      <c r="G326" s="273">
        <v>2</v>
      </c>
      <c r="H326" s="273">
        <v>2</v>
      </c>
      <c r="I326" s="273">
        <v>2</v>
      </c>
      <c r="L326" s="273">
        <f>IF(E326&gt;計分版!C$13,0,1)</f>
        <v>0</v>
      </c>
      <c r="M326" s="273">
        <f>IF(F326&gt;計分版!D$13,0,1)</f>
        <v>0</v>
      </c>
      <c r="N326" s="273">
        <f>IF(G326&gt;計分版!E$13,0,1)</f>
        <v>0</v>
      </c>
      <c r="O326" s="273">
        <f>IF(H326&gt;計分版!F$13,0,1)</f>
        <v>0</v>
      </c>
      <c r="P326" s="273">
        <f>IF(I326&gt;LARGE(計分版!$G$13:$L$13,1),0,1)</f>
        <v>0</v>
      </c>
      <c r="S326" s="273">
        <f t="shared" si="12"/>
        <v>0</v>
      </c>
    </row>
    <row r="327" spans="1:19">
      <c r="A327" s="16" t="s">
        <v>1270</v>
      </c>
      <c r="B327" s="16" t="s">
        <v>1271</v>
      </c>
      <c r="C327" s="16" t="s">
        <v>1379</v>
      </c>
      <c r="E327" s="273">
        <v>3</v>
      </c>
      <c r="F327" s="273">
        <v>3</v>
      </c>
      <c r="G327" s="273">
        <v>2</v>
      </c>
      <c r="H327" s="273">
        <v>2</v>
      </c>
      <c r="I327" s="273">
        <v>2</v>
      </c>
      <c r="L327" s="273">
        <f>IF(E327&gt;計分版!C$13,0,1)</f>
        <v>0</v>
      </c>
      <c r="M327" s="273">
        <f>IF(F327&gt;計分版!D$13,0,1)</f>
        <v>0</v>
      </c>
      <c r="N327" s="273">
        <f>IF(G327&gt;計分版!E$13,0,1)</f>
        <v>0</v>
      </c>
      <c r="O327" s="273">
        <f>IF(H327&gt;計分版!F$13,0,1)</f>
        <v>0</v>
      </c>
      <c r="P327" s="273">
        <f>IF(I327&gt;LARGE(計分版!$G$13:$L$13,1),0,1)</f>
        <v>0</v>
      </c>
      <c r="S327" s="273">
        <f t="shared" si="12"/>
        <v>0</v>
      </c>
    </row>
    <row r="328" spans="1:19">
      <c r="A328" s="16" t="s">
        <v>1273</v>
      </c>
      <c r="B328" s="16" t="s">
        <v>1274</v>
      </c>
      <c r="C328" s="16" t="s">
        <v>1379</v>
      </c>
      <c r="E328" s="273">
        <v>3</v>
      </c>
      <c r="F328" s="273">
        <v>3</v>
      </c>
      <c r="G328" s="273">
        <v>2</v>
      </c>
      <c r="H328" s="273">
        <v>2</v>
      </c>
      <c r="I328" s="273">
        <v>2</v>
      </c>
      <c r="L328" s="273">
        <f>IF(E328&gt;計分版!C$13,0,1)</f>
        <v>0</v>
      </c>
      <c r="M328" s="273">
        <f>IF(F328&gt;計分版!D$13,0,1)</f>
        <v>0</v>
      </c>
      <c r="N328" s="273">
        <f>IF(G328&gt;計分版!E$13,0,1)</f>
        <v>0</v>
      </c>
      <c r="O328" s="273">
        <f>IF(H328&gt;計分版!F$13,0,1)</f>
        <v>0</v>
      </c>
      <c r="P328" s="273">
        <f>IF(I328&gt;LARGE(計分版!$G$13:$L$13,1),0,1)</f>
        <v>0</v>
      </c>
      <c r="S328" s="273">
        <f t="shared" si="12"/>
        <v>0</v>
      </c>
    </row>
    <row r="329" spans="1:19">
      <c r="A329" s="16" t="s">
        <v>1276</v>
      </c>
      <c r="B329" s="16" t="s">
        <v>1277</v>
      </c>
      <c r="C329" s="16" t="s">
        <v>1379</v>
      </c>
      <c r="E329" s="273">
        <v>3</v>
      </c>
      <c r="F329" s="273">
        <v>3</v>
      </c>
      <c r="G329" s="273">
        <v>2</v>
      </c>
      <c r="H329" s="273">
        <v>2</v>
      </c>
      <c r="I329" s="273">
        <v>2</v>
      </c>
      <c r="L329" s="273">
        <f>IF(E329&gt;計分版!C$13,0,1)</f>
        <v>0</v>
      </c>
      <c r="M329" s="273">
        <f>IF(F329&gt;計分版!D$13,0,1)</f>
        <v>0</v>
      </c>
      <c r="N329" s="273">
        <f>IF(G329&gt;計分版!E$13,0,1)</f>
        <v>0</v>
      </c>
      <c r="O329" s="273">
        <f>IF(H329&gt;計分版!F$13,0,1)</f>
        <v>0</v>
      </c>
      <c r="P329" s="273">
        <f>IF(I329&gt;LARGE(計分版!$G$13:$L$13,1),0,1)</f>
        <v>0</v>
      </c>
      <c r="S329" s="273">
        <f t="shared" si="12"/>
        <v>0</v>
      </c>
    </row>
    <row r="330" spans="1:19">
      <c r="A330" s="16" t="s">
        <v>1279</v>
      </c>
      <c r="B330" s="16" t="s">
        <v>1280</v>
      </c>
      <c r="C330" s="16" t="s">
        <v>1379</v>
      </c>
      <c r="E330" s="273">
        <v>3</v>
      </c>
      <c r="F330" s="273">
        <v>3</v>
      </c>
      <c r="G330" s="273">
        <v>2</v>
      </c>
      <c r="H330" s="273">
        <v>2</v>
      </c>
      <c r="I330" s="273">
        <v>2</v>
      </c>
      <c r="L330" s="273">
        <f>IF(E330&gt;計分版!C$13,0,1)</f>
        <v>0</v>
      </c>
      <c r="M330" s="273">
        <f>IF(F330&gt;計分版!D$13,0,1)</f>
        <v>0</v>
      </c>
      <c r="N330" s="273">
        <f>IF(G330&gt;計分版!E$13,0,1)</f>
        <v>0</v>
      </c>
      <c r="O330" s="273">
        <f>IF(H330&gt;計分版!F$13,0,1)</f>
        <v>0</v>
      </c>
      <c r="P330" s="273">
        <f>IF(I330&gt;LARGE(計分版!$G$13:$L$13,1),0,1)</f>
        <v>0</v>
      </c>
      <c r="S330" s="273">
        <f t="shared" si="12"/>
        <v>0</v>
      </c>
    </row>
    <row r="331" spans="1:19">
      <c r="A331" s="16" t="s">
        <v>1282</v>
      </c>
      <c r="B331" s="16" t="s">
        <v>1283</v>
      </c>
      <c r="C331" s="16" t="s">
        <v>1379</v>
      </c>
      <c r="E331" s="273">
        <v>3</v>
      </c>
      <c r="F331" s="273">
        <v>3</v>
      </c>
      <c r="G331" s="273">
        <v>2</v>
      </c>
      <c r="H331" s="273">
        <v>2</v>
      </c>
      <c r="I331" s="273">
        <v>2</v>
      </c>
      <c r="L331" s="273">
        <f>IF(E331&gt;計分版!C$13,0,1)</f>
        <v>0</v>
      </c>
      <c r="M331" s="273">
        <f>IF(F331&gt;計分版!D$13,0,1)</f>
        <v>0</v>
      </c>
      <c r="N331" s="273">
        <f>IF(G331&gt;計分版!E$13,0,1)</f>
        <v>0</v>
      </c>
      <c r="O331" s="273">
        <f>IF(H331&gt;計分版!F$13,0,1)</f>
        <v>0</v>
      </c>
      <c r="P331" s="273">
        <f>IF(I331&gt;LARGE(計分版!$G$13:$L$13,1),0,1)</f>
        <v>0</v>
      </c>
      <c r="S331" s="273">
        <f t="shared" si="12"/>
        <v>0</v>
      </c>
    </row>
    <row r="332" spans="1:19">
      <c r="A332" s="16" t="s">
        <v>1285</v>
      </c>
      <c r="B332" s="16" t="s">
        <v>1286</v>
      </c>
      <c r="C332" s="16" t="s">
        <v>1379</v>
      </c>
      <c r="E332" s="273">
        <v>3</v>
      </c>
      <c r="F332" s="273">
        <v>3</v>
      </c>
      <c r="G332" s="273">
        <v>2</v>
      </c>
      <c r="H332" s="273">
        <v>2</v>
      </c>
      <c r="I332" s="273">
        <v>2</v>
      </c>
      <c r="L332" s="273">
        <f>IF(E332&gt;計分版!C$13,0,1)</f>
        <v>0</v>
      </c>
      <c r="M332" s="273">
        <f>IF(F332&gt;計分版!D$13,0,1)</f>
        <v>0</v>
      </c>
      <c r="N332" s="273">
        <f>IF(G332&gt;計分版!E$13,0,1)</f>
        <v>0</v>
      </c>
      <c r="O332" s="273">
        <f>IF(H332&gt;計分版!F$13,0,1)</f>
        <v>0</v>
      </c>
      <c r="P332" s="273">
        <f>IF(I332&gt;LARGE(計分版!$G$13:$L$13,1),0,1)</f>
        <v>0</v>
      </c>
      <c r="S332" s="273">
        <f t="shared" si="12"/>
        <v>0</v>
      </c>
    </row>
    <row r="333" spans="1:19">
      <c r="A333" s="16" t="s">
        <v>1288</v>
      </c>
      <c r="B333" s="16" t="s">
        <v>1289</v>
      </c>
      <c r="C333" s="16" t="s">
        <v>1379</v>
      </c>
      <c r="E333" s="273">
        <v>3</v>
      </c>
      <c r="F333" s="273">
        <v>3</v>
      </c>
      <c r="G333" s="273">
        <v>2</v>
      </c>
      <c r="H333" s="273">
        <v>2</v>
      </c>
      <c r="I333" s="273">
        <v>2</v>
      </c>
      <c r="L333" s="273">
        <f>IF(E333&gt;計分版!C$13,0,1)</f>
        <v>0</v>
      </c>
      <c r="M333" s="273">
        <f>IF(F333&gt;計分版!D$13,0,1)</f>
        <v>0</v>
      </c>
      <c r="N333" s="273">
        <f>IF(G333&gt;計分版!E$13,0,1)</f>
        <v>0</v>
      </c>
      <c r="O333" s="273">
        <f>IF(H333&gt;計分版!F$13,0,1)</f>
        <v>0</v>
      </c>
      <c r="P333" s="273">
        <f>IF(I333&gt;LARGE(計分版!$G$13:$L$13,1),0,1)</f>
        <v>0</v>
      </c>
      <c r="S333" s="273">
        <f t="shared" si="12"/>
        <v>0</v>
      </c>
    </row>
    <row r="334" spans="1:19">
      <c r="A334" s="16" t="s">
        <v>1291</v>
      </c>
      <c r="B334" s="16" t="s">
        <v>1292</v>
      </c>
      <c r="C334" s="16" t="s">
        <v>1379</v>
      </c>
      <c r="E334" s="273">
        <v>3</v>
      </c>
      <c r="F334" s="273">
        <v>3</v>
      </c>
      <c r="G334" s="273">
        <v>2</v>
      </c>
      <c r="H334" s="273">
        <v>2</v>
      </c>
      <c r="I334" s="273">
        <v>2</v>
      </c>
      <c r="L334" s="273">
        <f>IF(E334&gt;計分版!C$13,0,1)</f>
        <v>0</v>
      </c>
      <c r="M334" s="273">
        <f>IF(F334&gt;計分版!D$13,0,1)</f>
        <v>0</v>
      </c>
      <c r="N334" s="273">
        <f>IF(G334&gt;計分版!E$13,0,1)</f>
        <v>0</v>
      </c>
      <c r="O334" s="273">
        <f>IF(H334&gt;計分版!F$13,0,1)</f>
        <v>0</v>
      </c>
      <c r="P334" s="273">
        <f>IF(I334&gt;LARGE(計分版!$G$13:$L$13,1),0,1)</f>
        <v>0</v>
      </c>
      <c r="S334" s="273">
        <f t="shared" si="12"/>
        <v>0</v>
      </c>
    </row>
    <row r="335" spans="1:19">
      <c r="A335" s="16" t="s">
        <v>1294</v>
      </c>
      <c r="B335" s="16" t="s">
        <v>1295</v>
      </c>
      <c r="C335" s="16" t="s">
        <v>1379</v>
      </c>
      <c r="E335" s="273">
        <v>3</v>
      </c>
      <c r="F335" s="273">
        <v>3</v>
      </c>
      <c r="G335" s="273">
        <v>2</v>
      </c>
      <c r="H335" s="273">
        <v>2</v>
      </c>
      <c r="I335" s="273">
        <v>2</v>
      </c>
      <c r="L335" s="273">
        <f>IF(E335&gt;計分版!C$13,0,1)</f>
        <v>0</v>
      </c>
      <c r="M335" s="273">
        <f>IF(F335&gt;計分版!D$13,0,1)</f>
        <v>0</v>
      </c>
      <c r="N335" s="273">
        <f>IF(G335&gt;計分版!E$13,0,1)</f>
        <v>0</v>
      </c>
      <c r="O335" s="273">
        <f>IF(H335&gt;計分版!F$13,0,1)</f>
        <v>0</v>
      </c>
      <c r="P335" s="273">
        <f>IF(I335&gt;LARGE(計分版!$G$13:$L$13,1),0,1)</f>
        <v>0</v>
      </c>
      <c r="S335" s="273">
        <f t="shared" si="12"/>
        <v>0</v>
      </c>
    </row>
    <row r="336" spans="1:19">
      <c r="A336" s="16" t="s">
        <v>1297</v>
      </c>
      <c r="B336" s="16" t="s">
        <v>1298</v>
      </c>
      <c r="C336" s="16" t="s">
        <v>1379</v>
      </c>
      <c r="E336" s="273">
        <v>3</v>
      </c>
      <c r="F336" s="273">
        <v>3</v>
      </c>
      <c r="G336" s="273">
        <v>2</v>
      </c>
      <c r="H336" s="273">
        <v>2</v>
      </c>
      <c r="I336" s="273">
        <v>2</v>
      </c>
      <c r="L336" s="273">
        <f>IF(E336&gt;計分版!C$13,0,1)</f>
        <v>0</v>
      </c>
      <c r="M336" s="273">
        <f>IF(F336&gt;計分版!D$13,0,1)</f>
        <v>0</v>
      </c>
      <c r="N336" s="273">
        <f>IF(G336&gt;計分版!E$13,0,1)</f>
        <v>0</v>
      </c>
      <c r="O336" s="273">
        <f>IF(H336&gt;計分版!F$13,0,1)</f>
        <v>0</v>
      </c>
      <c r="P336" s="273">
        <f>IF(I336&gt;LARGE(計分版!$G$13:$L$13,1),0,1)</f>
        <v>0</v>
      </c>
      <c r="S336" s="273">
        <f t="shared" si="12"/>
        <v>0</v>
      </c>
    </row>
    <row r="337" spans="1:19">
      <c r="A337" s="16" t="s">
        <v>1300</v>
      </c>
      <c r="B337" s="16" t="s">
        <v>1301</v>
      </c>
      <c r="C337" s="16" t="s">
        <v>1379</v>
      </c>
      <c r="E337" s="273">
        <v>3</v>
      </c>
      <c r="F337" s="273">
        <v>3</v>
      </c>
      <c r="G337" s="273">
        <v>2</v>
      </c>
      <c r="H337" s="273">
        <v>2</v>
      </c>
      <c r="I337" s="273">
        <v>2</v>
      </c>
      <c r="L337" s="273">
        <f>IF(E337&gt;計分版!C$13,0,1)</f>
        <v>0</v>
      </c>
      <c r="M337" s="273">
        <f>IF(F337&gt;計分版!D$13,0,1)</f>
        <v>0</v>
      </c>
      <c r="N337" s="273">
        <f>IF(G337&gt;計分版!E$13,0,1)</f>
        <v>0</v>
      </c>
      <c r="O337" s="273">
        <f>IF(H337&gt;計分版!F$13,0,1)</f>
        <v>0</v>
      </c>
      <c r="P337" s="273">
        <f>IF(I337&gt;LARGE(計分版!$G$13:$L$13,1),0,1)</f>
        <v>0</v>
      </c>
      <c r="S337" s="273">
        <f t="shared" si="12"/>
        <v>0</v>
      </c>
    </row>
    <row r="338" spans="1:19">
      <c r="A338" s="16" t="s">
        <v>1303</v>
      </c>
      <c r="B338" s="16" t="s">
        <v>1304</v>
      </c>
      <c r="C338" s="16" t="s">
        <v>1379</v>
      </c>
      <c r="E338" s="273">
        <v>3</v>
      </c>
      <c r="F338" s="273">
        <v>3</v>
      </c>
      <c r="G338" s="273">
        <v>2</v>
      </c>
      <c r="H338" s="273">
        <v>2</v>
      </c>
      <c r="I338" s="273">
        <v>2</v>
      </c>
      <c r="L338" s="273">
        <f>IF(E338&gt;計分版!C$13,0,1)</f>
        <v>0</v>
      </c>
      <c r="M338" s="273">
        <f>IF(F338&gt;計分版!D$13,0,1)</f>
        <v>0</v>
      </c>
      <c r="N338" s="273">
        <f>IF(G338&gt;計分版!E$13,0,1)</f>
        <v>0</v>
      </c>
      <c r="O338" s="273">
        <f>IF(H338&gt;計分版!F$13,0,1)</f>
        <v>0</v>
      </c>
      <c r="P338" s="273">
        <f>IF(I338&gt;LARGE(計分版!$G$13:$L$13,1),0,1)</f>
        <v>0</v>
      </c>
      <c r="S338" s="273">
        <f t="shared" si="12"/>
        <v>0</v>
      </c>
    </row>
    <row r="339" spans="1:19">
      <c r="A339" s="16" t="s">
        <v>1306</v>
      </c>
      <c r="B339" s="16" t="s">
        <v>1307</v>
      </c>
      <c r="C339" s="16" t="s">
        <v>1379</v>
      </c>
      <c r="E339" s="273">
        <v>3</v>
      </c>
      <c r="F339" s="273">
        <v>3</v>
      </c>
      <c r="G339" s="273">
        <v>2</v>
      </c>
      <c r="H339" s="273">
        <v>2</v>
      </c>
      <c r="I339" s="273">
        <v>2</v>
      </c>
      <c r="L339" s="273">
        <f>IF(E339&gt;計分版!C$13,0,1)</f>
        <v>0</v>
      </c>
      <c r="M339" s="273">
        <f>IF(F339&gt;計分版!D$13,0,1)</f>
        <v>0</v>
      </c>
      <c r="N339" s="273">
        <f>IF(G339&gt;計分版!E$13,0,1)</f>
        <v>0</v>
      </c>
      <c r="O339" s="273">
        <f>IF(H339&gt;計分版!F$13,0,1)</f>
        <v>0</v>
      </c>
      <c r="P339" s="273">
        <f>IF(I339&gt;LARGE(計分版!$G$13:$L$13,1),0,1)</f>
        <v>0</v>
      </c>
      <c r="S339" s="273">
        <f t="shared" si="12"/>
        <v>0</v>
      </c>
    </row>
    <row r="340" spans="1:19">
      <c r="A340" s="16" t="s">
        <v>1309</v>
      </c>
      <c r="B340" s="16" t="s">
        <v>1310</v>
      </c>
      <c r="C340" s="16" t="s">
        <v>1379</v>
      </c>
      <c r="E340" s="273">
        <v>3</v>
      </c>
      <c r="F340" s="273">
        <v>3</v>
      </c>
      <c r="G340" s="273">
        <v>2</v>
      </c>
      <c r="H340" s="273">
        <v>2</v>
      </c>
      <c r="I340" s="273">
        <v>2</v>
      </c>
      <c r="L340" s="273">
        <f>IF(E340&gt;計分版!C$13,0,1)</f>
        <v>0</v>
      </c>
      <c r="M340" s="273">
        <f>IF(F340&gt;計分版!D$13,0,1)</f>
        <v>0</v>
      </c>
      <c r="N340" s="273">
        <f>IF(G340&gt;計分版!E$13,0,1)</f>
        <v>0</v>
      </c>
      <c r="O340" s="273">
        <f>IF(H340&gt;計分版!F$13,0,1)</f>
        <v>0</v>
      </c>
      <c r="P340" s="273">
        <f>IF(I340&gt;LARGE(計分版!$G$13:$L$13,1),0,1)</f>
        <v>0</v>
      </c>
      <c r="S340" s="273">
        <f t="shared" si="12"/>
        <v>0</v>
      </c>
    </row>
    <row r="341" spans="1:19">
      <c r="A341" s="16" t="s">
        <v>1312</v>
      </c>
      <c r="B341" s="16" t="s">
        <v>1313</v>
      </c>
      <c r="C341" s="16" t="s">
        <v>1379</v>
      </c>
      <c r="E341" s="273">
        <v>3</v>
      </c>
      <c r="F341" s="273">
        <v>3</v>
      </c>
      <c r="G341" s="273">
        <v>2</v>
      </c>
      <c r="H341" s="273">
        <v>2</v>
      </c>
      <c r="I341" s="273">
        <v>2</v>
      </c>
      <c r="L341" s="273">
        <f>IF(E341&gt;計分版!C$13,0,1)</f>
        <v>0</v>
      </c>
      <c r="M341" s="273">
        <f>IF(F341&gt;計分版!D$13,0,1)</f>
        <v>0</v>
      </c>
      <c r="N341" s="273">
        <f>IF(G341&gt;計分版!E$13,0,1)</f>
        <v>0</v>
      </c>
      <c r="O341" s="273">
        <f>IF(H341&gt;計分版!F$13,0,1)</f>
        <v>0</v>
      </c>
      <c r="P341" s="273">
        <f>IF(I341&gt;LARGE(計分版!$G$13:$L$13,1),0,1)</f>
        <v>0</v>
      </c>
      <c r="S341" s="273">
        <f t="shared" si="12"/>
        <v>0</v>
      </c>
    </row>
    <row r="342" spans="1:19">
      <c r="A342" s="16" t="s">
        <v>1315</v>
      </c>
      <c r="B342" s="16" t="s">
        <v>1316</v>
      </c>
      <c r="C342" s="16" t="s">
        <v>214</v>
      </c>
      <c r="E342" s="273">
        <v>3</v>
      </c>
      <c r="F342" s="273">
        <v>3</v>
      </c>
      <c r="G342" s="273">
        <v>2</v>
      </c>
      <c r="H342" s="273">
        <v>2</v>
      </c>
      <c r="I342" s="273">
        <v>2</v>
      </c>
      <c r="L342" s="273">
        <f>IF(E342&gt;計分版!C$13,0,1)</f>
        <v>0</v>
      </c>
      <c r="M342" s="273">
        <f>IF(F342&gt;計分版!D$13,0,1)</f>
        <v>0</v>
      </c>
      <c r="N342" s="273">
        <f>IF(G342&gt;計分版!E$13,0,1)</f>
        <v>0</v>
      </c>
      <c r="O342" s="273">
        <f>IF(H342&gt;計分版!F$13,0,1)</f>
        <v>0</v>
      </c>
      <c r="P342" s="273">
        <f>IF(I342&gt;LARGE(計分版!$G$13:$L$13,1),0,1)</f>
        <v>0</v>
      </c>
      <c r="S342" s="273">
        <f t="shared" si="12"/>
        <v>0</v>
      </c>
    </row>
    <row r="343" spans="1:19">
      <c r="A343" s="16" t="s">
        <v>1318</v>
      </c>
      <c r="B343" s="16" t="s">
        <v>1319</v>
      </c>
      <c r="C343" s="16" t="s">
        <v>214</v>
      </c>
      <c r="E343" s="273">
        <v>3</v>
      </c>
      <c r="F343" s="273">
        <v>3</v>
      </c>
      <c r="G343" s="273">
        <v>2</v>
      </c>
      <c r="H343" s="273">
        <v>2</v>
      </c>
      <c r="I343" s="273">
        <v>2</v>
      </c>
      <c r="L343" s="273">
        <f>IF(E343&gt;計分版!C$13,0,1)</f>
        <v>0</v>
      </c>
      <c r="M343" s="273">
        <f>IF(F343&gt;計分版!D$13,0,1)</f>
        <v>0</v>
      </c>
      <c r="N343" s="273">
        <f>IF(G343&gt;計分版!E$13,0,1)</f>
        <v>0</v>
      </c>
      <c r="O343" s="273">
        <f>IF(H343&gt;計分版!F$13,0,1)</f>
        <v>0</v>
      </c>
      <c r="P343" s="273">
        <f>IF(I343&gt;LARGE(計分版!$G$13:$L$13,1),0,1)</f>
        <v>0</v>
      </c>
      <c r="S343" s="273">
        <f t="shared" si="12"/>
        <v>0</v>
      </c>
    </row>
    <row r="344" spans="1:19">
      <c r="A344" s="16" t="s">
        <v>1321</v>
      </c>
      <c r="B344" s="16" t="s">
        <v>1322</v>
      </c>
      <c r="C344" s="16" t="s">
        <v>214</v>
      </c>
      <c r="E344" s="273">
        <v>3</v>
      </c>
      <c r="F344" s="273">
        <v>3</v>
      </c>
      <c r="G344" s="273">
        <v>2</v>
      </c>
      <c r="H344" s="273">
        <v>2</v>
      </c>
      <c r="I344" s="273">
        <v>2</v>
      </c>
      <c r="L344" s="273">
        <f>IF(E344&gt;計分版!C$13,0,1)</f>
        <v>0</v>
      </c>
      <c r="M344" s="273">
        <f>IF(F344&gt;計分版!D$13,0,1)</f>
        <v>0</v>
      </c>
      <c r="N344" s="273">
        <f>IF(G344&gt;計分版!E$13,0,1)</f>
        <v>0</v>
      </c>
      <c r="O344" s="273">
        <f>IF(H344&gt;計分版!F$13,0,1)</f>
        <v>0</v>
      </c>
      <c r="P344" s="273">
        <f>IF(I344&gt;LARGE(計分版!$G$13:$L$13,1),0,1)</f>
        <v>0</v>
      </c>
      <c r="S344" s="273">
        <f t="shared" si="12"/>
        <v>0</v>
      </c>
    </row>
    <row r="345" spans="1:19">
      <c r="A345" s="16" t="s">
        <v>1324</v>
      </c>
      <c r="B345" s="16" t="s">
        <v>1325</v>
      </c>
      <c r="C345" s="16" t="s">
        <v>214</v>
      </c>
      <c r="E345" s="273">
        <v>3</v>
      </c>
      <c r="F345" s="273">
        <v>3</v>
      </c>
      <c r="G345" s="273">
        <v>2</v>
      </c>
      <c r="H345" s="273">
        <v>2</v>
      </c>
      <c r="I345" s="273">
        <v>2</v>
      </c>
      <c r="L345" s="273">
        <f>IF(E345&gt;計分版!C$13,0,1)</f>
        <v>0</v>
      </c>
      <c r="M345" s="273">
        <f>IF(F345&gt;計分版!D$13,0,1)</f>
        <v>0</v>
      </c>
      <c r="N345" s="273">
        <f>IF(G345&gt;計分版!E$13,0,1)</f>
        <v>0</v>
      </c>
      <c r="O345" s="273">
        <f>IF(H345&gt;計分版!F$13,0,1)</f>
        <v>0</v>
      </c>
      <c r="P345" s="273">
        <f>IF(I345&gt;LARGE(計分版!$G$13:$L$13,1),0,1)</f>
        <v>0</v>
      </c>
      <c r="S345" s="273">
        <f t="shared" si="12"/>
        <v>0</v>
      </c>
    </row>
    <row r="346" spans="1:19">
      <c r="A346" s="16" t="s">
        <v>1327</v>
      </c>
      <c r="B346" s="16" t="s">
        <v>1328</v>
      </c>
      <c r="C346" s="16" t="s">
        <v>214</v>
      </c>
      <c r="E346" s="273">
        <v>3</v>
      </c>
      <c r="F346" s="273">
        <v>3</v>
      </c>
      <c r="G346" s="273">
        <v>2</v>
      </c>
      <c r="H346" s="273">
        <v>2</v>
      </c>
      <c r="I346" s="273">
        <v>2</v>
      </c>
      <c r="L346" s="273">
        <f>IF(E346&gt;計分版!C$13,0,1)</f>
        <v>0</v>
      </c>
      <c r="M346" s="273">
        <f>IF(F346&gt;計分版!D$13,0,1)</f>
        <v>0</v>
      </c>
      <c r="N346" s="273">
        <f>IF(G346&gt;計分版!E$13,0,1)</f>
        <v>0</v>
      </c>
      <c r="O346" s="273">
        <f>IF(H346&gt;計分版!F$13,0,1)</f>
        <v>0</v>
      </c>
      <c r="P346" s="273">
        <f>IF(I346&gt;LARGE(計分版!$G$13:$L$13,1),0,1)</f>
        <v>0</v>
      </c>
      <c r="S346" s="273">
        <f t="shared" si="12"/>
        <v>0</v>
      </c>
    </row>
    <row r="347" spans="1:19">
      <c r="A347" s="16" t="s">
        <v>1330</v>
      </c>
      <c r="B347" s="16" t="s">
        <v>1331</v>
      </c>
      <c r="C347" s="16" t="s">
        <v>214</v>
      </c>
      <c r="E347" s="273">
        <v>3</v>
      </c>
      <c r="F347" s="273">
        <v>3</v>
      </c>
      <c r="G347" s="273">
        <v>2</v>
      </c>
      <c r="H347" s="273">
        <v>2</v>
      </c>
      <c r="I347" s="273">
        <v>2</v>
      </c>
      <c r="L347" s="273">
        <f>IF(E347&gt;計分版!C$13,0,1)</f>
        <v>0</v>
      </c>
      <c r="M347" s="273">
        <f>IF(F347&gt;計分版!D$13,0,1)</f>
        <v>0</v>
      </c>
      <c r="N347" s="273">
        <f>IF(G347&gt;計分版!E$13,0,1)</f>
        <v>0</v>
      </c>
      <c r="O347" s="273">
        <f>IF(H347&gt;計分版!F$13,0,1)</f>
        <v>0</v>
      </c>
      <c r="P347" s="273">
        <f>IF(I347&gt;LARGE(計分版!$G$13:$L$13,1),0,1)</f>
        <v>0</v>
      </c>
      <c r="S347" s="273">
        <f t="shared" si="12"/>
        <v>0</v>
      </c>
    </row>
    <row r="348" spans="1:19">
      <c r="A348" s="16" t="s">
        <v>1333</v>
      </c>
      <c r="B348" s="16" t="s">
        <v>1334</v>
      </c>
      <c r="C348" s="16" t="s">
        <v>1379</v>
      </c>
      <c r="E348" s="273">
        <v>3</v>
      </c>
      <c r="F348" s="273">
        <v>3</v>
      </c>
      <c r="G348" s="273">
        <v>2</v>
      </c>
      <c r="H348" s="273">
        <v>2</v>
      </c>
      <c r="I348" s="273">
        <v>2</v>
      </c>
      <c r="L348" s="273">
        <f>IF(E348&gt;計分版!C$13,0,1)</f>
        <v>0</v>
      </c>
      <c r="M348" s="273">
        <f>IF(F348&gt;計分版!D$13,0,1)</f>
        <v>0</v>
      </c>
      <c r="N348" s="273">
        <f>IF(G348&gt;計分版!E$13,0,1)</f>
        <v>0</v>
      </c>
      <c r="O348" s="273">
        <f>IF(H348&gt;計分版!F$13,0,1)</f>
        <v>0</v>
      </c>
      <c r="P348" s="273">
        <f>IF(I348&gt;LARGE(計分版!$G$13:$L$13,1),0,1)</f>
        <v>0</v>
      </c>
      <c r="S348" s="273">
        <f t="shared" si="12"/>
        <v>0</v>
      </c>
    </row>
    <row r="349" spans="1:19">
      <c r="A349" s="16" t="s">
        <v>1336</v>
      </c>
      <c r="B349" s="16" t="s">
        <v>1337</v>
      </c>
      <c r="C349" s="16" t="s">
        <v>1379</v>
      </c>
      <c r="E349" s="273">
        <v>3</v>
      </c>
      <c r="F349" s="273">
        <v>3</v>
      </c>
      <c r="G349" s="273">
        <v>2</v>
      </c>
      <c r="H349" s="273">
        <v>2</v>
      </c>
      <c r="I349" s="273">
        <v>2</v>
      </c>
      <c r="L349" s="273">
        <f>IF(E349&gt;計分版!C$13,0,1)</f>
        <v>0</v>
      </c>
      <c r="M349" s="273">
        <f>IF(F349&gt;計分版!D$13,0,1)</f>
        <v>0</v>
      </c>
      <c r="N349" s="273">
        <f>IF(G349&gt;計分版!E$13,0,1)</f>
        <v>0</v>
      </c>
      <c r="O349" s="273">
        <f>IF(H349&gt;計分版!F$13,0,1)</f>
        <v>0</v>
      </c>
      <c r="P349" s="273">
        <f>IF(I349&gt;LARGE(計分版!$G$13:$L$13,1),0,1)</f>
        <v>0</v>
      </c>
      <c r="S349" s="273">
        <f t="shared" si="12"/>
        <v>0</v>
      </c>
    </row>
    <row r="350" spans="1:19">
      <c r="A350" s="16" t="s">
        <v>1339</v>
      </c>
      <c r="B350" s="16" t="s">
        <v>1340</v>
      </c>
      <c r="C350" s="16" t="s">
        <v>1379</v>
      </c>
      <c r="E350" s="273">
        <v>3</v>
      </c>
      <c r="F350" s="273">
        <v>3</v>
      </c>
      <c r="G350" s="273">
        <v>2</v>
      </c>
      <c r="H350" s="273">
        <v>2</v>
      </c>
      <c r="I350" s="273">
        <v>2</v>
      </c>
      <c r="L350" s="273">
        <f>IF(E350&gt;計分版!C$13,0,1)</f>
        <v>0</v>
      </c>
      <c r="M350" s="273">
        <f>IF(F350&gt;計分版!D$13,0,1)</f>
        <v>0</v>
      </c>
      <c r="N350" s="273">
        <f>IF(G350&gt;計分版!E$13,0,1)</f>
        <v>0</v>
      </c>
      <c r="O350" s="273">
        <f>IF(H350&gt;計分版!F$13,0,1)</f>
        <v>0</v>
      </c>
      <c r="P350" s="273">
        <f>IF(I350&gt;LARGE(計分版!$G$13:$L$13,1),0,1)</f>
        <v>0</v>
      </c>
      <c r="S350" s="273">
        <f t="shared" si="12"/>
        <v>0</v>
      </c>
    </row>
    <row r="351" spans="1:19">
      <c r="A351" s="16" t="s">
        <v>1342</v>
      </c>
      <c r="B351" s="16" t="s">
        <v>1343</v>
      </c>
      <c r="C351" s="16" t="s">
        <v>1379</v>
      </c>
      <c r="E351" s="273">
        <v>3</v>
      </c>
      <c r="F351" s="273">
        <v>3</v>
      </c>
      <c r="G351" s="273">
        <v>2</v>
      </c>
      <c r="H351" s="273">
        <v>2</v>
      </c>
      <c r="I351" s="273">
        <v>2</v>
      </c>
      <c r="L351" s="273">
        <f>IF(E351&gt;計分版!C$13,0,1)</f>
        <v>0</v>
      </c>
      <c r="M351" s="273">
        <f>IF(F351&gt;計分版!D$13,0,1)</f>
        <v>0</v>
      </c>
      <c r="N351" s="273">
        <f>IF(G351&gt;計分版!E$13,0,1)</f>
        <v>0</v>
      </c>
      <c r="O351" s="273">
        <f>IF(H351&gt;計分版!F$13,0,1)</f>
        <v>0</v>
      </c>
      <c r="P351" s="273">
        <f>IF(I351&gt;LARGE(計分版!$G$13:$L$13,1),0,1)</f>
        <v>0</v>
      </c>
      <c r="S351" s="273">
        <f t="shared" si="12"/>
        <v>0</v>
      </c>
    </row>
    <row r="352" spans="1:19">
      <c r="A352" s="16" t="s">
        <v>1345</v>
      </c>
      <c r="B352" s="16" t="s">
        <v>1346</v>
      </c>
      <c r="C352" s="16" t="s">
        <v>1379</v>
      </c>
      <c r="E352" s="273">
        <v>3</v>
      </c>
      <c r="F352" s="273">
        <v>3</v>
      </c>
      <c r="G352" s="273">
        <v>2</v>
      </c>
      <c r="H352" s="273">
        <v>2</v>
      </c>
      <c r="I352" s="273">
        <v>2</v>
      </c>
      <c r="L352" s="273">
        <f>IF(E352&gt;計分版!C$13,0,1)</f>
        <v>0</v>
      </c>
      <c r="M352" s="273">
        <f>IF(F352&gt;計分版!D$13,0,1)</f>
        <v>0</v>
      </c>
      <c r="N352" s="273">
        <f>IF(G352&gt;計分版!E$13,0,1)</f>
        <v>0</v>
      </c>
      <c r="O352" s="273">
        <f>IF(H352&gt;計分版!F$13,0,1)</f>
        <v>0</v>
      </c>
      <c r="P352" s="273">
        <f>IF(I352&gt;LARGE(計分版!$G$13:$L$13,1),0,1)</f>
        <v>0</v>
      </c>
      <c r="S352" s="273">
        <f t="shared" si="12"/>
        <v>0</v>
      </c>
    </row>
    <row r="353" spans="1:19">
      <c r="A353" s="16" t="s">
        <v>1348</v>
      </c>
      <c r="B353" s="16" t="s">
        <v>1349</v>
      </c>
      <c r="C353" s="16" t="s">
        <v>1379</v>
      </c>
      <c r="E353" s="273">
        <v>3</v>
      </c>
      <c r="F353" s="273">
        <v>3</v>
      </c>
      <c r="G353" s="273">
        <v>2</v>
      </c>
      <c r="H353" s="273">
        <v>2</v>
      </c>
      <c r="I353" s="273">
        <v>2</v>
      </c>
      <c r="L353" s="273">
        <f>IF(E353&gt;計分版!C$13,0,1)</f>
        <v>0</v>
      </c>
      <c r="M353" s="273">
        <f>IF(F353&gt;計分版!D$13,0,1)</f>
        <v>0</v>
      </c>
      <c r="N353" s="273">
        <f>IF(G353&gt;計分版!E$13,0,1)</f>
        <v>0</v>
      </c>
      <c r="O353" s="273">
        <f>IF(H353&gt;計分版!F$13,0,1)</f>
        <v>0</v>
      </c>
      <c r="P353" s="273">
        <f>IF(I353&gt;LARGE(計分版!$G$13:$L$13,1),0,IF(計分版!R217=0,2,1))</f>
        <v>0</v>
      </c>
      <c r="S353" s="273">
        <f t="shared" si="12"/>
        <v>0</v>
      </c>
    </row>
    <row r="355" spans="1:19">
      <c r="A355" s="16" t="s">
        <v>1514</v>
      </c>
    </row>
    <row r="356" spans="1:19">
      <c r="A356" s="16" t="s">
        <v>1391</v>
      </c>
      <c r="B356" s="58" t="s">
        <v>1491</v>
      </c>
      <c r="C356" s="16" t="s">
        <v>1379</v>
      </c>
      <c r="E356" s="273">
        <v>3</v>
      </c>
      <c r="F356" s="273">
        <v>3</v>
      </c>
      <c r="G356" s="273">
        <v>2</v>
      </c>
      <c r="H356" s="273">
        <v>2</v>
      </c>
      <c r="I356" s="273">
        <v>2</v>
      </c>
      <c r="L356" s="273">
        <f>IF(E356&gt;計分版!C$13,0,1)</f>
        <v>0</v>
      </c>
      <c r="M356" s="273">
        <f>IF(F356&gt;計分版!D$13,0,1)</f>
        <v>0</v>
      </c>
      <c r="N356" s="273">
        <f>IF(G356&gt;計分版!E$13,0,1)</f>
        <v>0</v>
      </c>
      <c r="O356" s="273">
        <f>IF(H356&gt;計分版!F$13,0,1)</f>
        <v>0</v>
      </c>
      <c r="P356" s="273">
        <f>IF(I356&gt;LARGE(計分版!$G$13:$L$13,1),0,1)</f>
        <v>0</v>
      </c>
      <c r="S356" s="273">
        <f>L356*M356*N356*O356*P356</f>
        <v>0</v>
      </c>
    </row>
    <row r="357" spans="1:19">
      <c r="A357" s="16" t="s">
        <v>1393</v>
      </c>
      <c r="B357" s="58" t="s">
        <v>1492</v>
      </c>
      <c r="C357" s="16" t="s">
        <v>1379</v>
      </c>
      <c r="E357" s="273">
        <v>3</v>
      </c>
      <c r="F357" s="273">
        <v>3</v>
      </c>
      <c r="G357" s="273">
        <v>2</v>
      </c>
      <c r="H357" s="273">
        <v>2</v>
      </c>
      <c r="I357" s="273">
        <v>2</v>
      </c>
      <c r="L357" s="273">
        <f>IF(E357&gt;計分版!C$13,0,1)</f>
        <v>0</v>
      </c>
      <c r="M357" s="273">
        <f>IF(F357&gt;計分版!D$13,0,1)</f>
        <v>0</v>
      </c>
      <c r="N357" s="273">
        <f>IF(G357&gt;計分版!E$13,0,1)</f>
        <v>0</v>
      </c>
      <c r="O357" s="273">
        <f>IF(H357&gt;計分版!F$13,0,1)</f>
        <v>0</v>
      </c>
      <c r="P357" s="273">
        <f>IF(I357&gt;LARGE(計分版!$G$13:$L$13,1),0,1)</f>
        <v>0</v>
      </c>
      <c r="S357" s="273">
        <f t="shared" ref="S357:S392" si="13">L357*M357*N357*O357*P357</f>
        <v>0</v>
      </c>
    </row>
    <row r="358" spans="1:19">
      <c r="A358" s="16" t="s">
        <v>1395</v>
      </c>
      <c r="B358" s="58" t="s">
        <v>1493</v>
      </c>
      <c r="C358" s="16" t="s">
        <v>1379</v>
      </c>
      <c r="E358" s="273">
        <v>3</v>
      </c>
      <c r="F358" s="273">
        <v>3</v>
      </c>
      <c r="G358" s="273">
        <v>2</v>
      </c>
      <c r="H358" s="273">
        <v>2</v>
      </c>
      <c r="I358" s="273">
        <v>2</v>
      </c>
      <c r="L358" s="273">
        <f>IF(E358&gt;計分版!C$13,0,1)</f>
        <v>0</v>
      </c>
      <c r="M358" s="273">
        <f>IF(F358&gt;計分版!D$13,0,1)</f>
        <v>0</v>
      </c>
      <c r="N358" s="273">
        <f>IF(G358&gt;計分版!E$13,0,1)</f>
        <v>0</v>
      </c>
      <c r="O358" s="273">
        <f>IF(H358&gt;計分版!F$13,0,1)</f>
        <v>0</v>
      </c>
      <c r="P358" s="273">
        <f>IF(I358&gt;LARGE(計分版!$G$13:$L$13,1),0,1)</f>
        <v>0</v>
      </c>
      <c r="S358" s="273">
        <f t="shared" si="13"/>
        <v>0</v>
      </c>
    </row>
    <row r="359" spans="1:19">
      <c r="A359" s="16" t="s">
        <v>1398</v>
      </c>
      <c r="B359" s="58" t="s">
        <v>1494</v>
      </c>
      <c r="C359" s="16" t="s">
        <v>1379</v>
      </c>
      <c r="E359" s="273">
        <v>3</v>
      </c>
      <c r="F359" s="273">
        <v>3</v>
      </c>
      <c r="G359" s="273">
        <v>2</v>
      </c>
      <c r="H359" s="273">
        <v>2</v>
      </c>
      <c r="I359" s="273">
        <v>2</v>
      </c>
      <c r="L359" s="273">
        <f>IF(E359&gt;計分版!C$13,0,1)</f>
        <v>0</v>
      </c>
      <c r="M359" s="273">
        <f>IF(F359&gt;計分版!D$13,0,1)</f>
        <v>0</v>
      </c>
      <c r="N359" s="273">
        <f>IF(G359&gt;計分版!E$13,0,1)</f>
        <v>0</v>
      </c>
      <c r="O359" s="273">
        <f>IF(H359&gt;計分版!F$13,0,1)</f>
        <v>0</v>
      </c>
      <c r="P359" s="273">
        <f>IF(I359&gt;LARGE(計分版!$G$13:$L$13,1),0,1)</f>
        <v>0</v>
      </c>
      <c r="S359" s="273">
        <f t="shared" si="13"/>
        <v>0</v>
      </c>
    </row>
    <row r="360" spans="1:19">
      <c r="A360" s="16" t="s">
        <v>1400</v>
      </c>
      <c r="B360" s="58" t="s">
        <v>1495</v>
      </c>
      <c r="C360" s="16" t="s">
        <v>1379</v>
      </c>
      <c r="E360" s="273">
        <v>3</v>
      </c>
      <c r="F360" s="273">
        <v>3</v>
      </c>
      <c r="G360" s="273">
        <v>2</v>
      </c>
      <c r="H360" s="273">
        <v>2</v>
      </c>
      <c r="I360" s="273">
        <v>2</v>
      </c>
      <c r="L360" s="273">
        <f>IF(E360&gt;計分版!C$13,0,1)</f>
        <v>0</v>
      </c>
      <c r="M360" s="273">
        <f>IF(F360&gt;計分版!D$13,0,1)</f>
        <v>0</v>
      </c>
      <c r="N360" s="273">
        <f>IF(G360&gt;計分版!E$13,0,1)</f>
        <v>0</v>
      </c>
      <c r="O360" s="273">
        <f>IF(H360&gt;計分版!F$13,0,1)</f>
        <v>0</v>
      </c>
      <c r="P360" s="273">
        <f>IF(I360&gt;LARGE(計分版!$G$13:$L$13,1),0,1)</f>
        <v>0</v>
      </c>
      <c r="S360" s="273">
        <f t="shared" si="13"/>
        <v>0</v>
      </c>
    </row>
    <row r="361" spans="1:19">
      <c r="A361" s="16" t="s">
        <v>1402</v>
      </c>
      <c r="B361" s="58" t="s">
        <v>1497</v>
      </c>
      <c r="C361" s="16" t="s">
        <v>1379</v>
      </c>
      <c r="E361" s="273">
        <v>3</v>
      </c>
      <c r="F361" s="273">
        <v>3</v>
      </c>
      <c r="G361" s="273">
        <v>2</v>
      </c>
      <c r="H361" s="273">
        <v>2</v>
      </c>
      <c r="I361" s="273">
        <v>2</v>
      </c>
      <c r="L361" s="273">
        <f>IF(E361&gt;計分版!C$13,0,1)</f>
        <v>0</v>
      </c>
      <c r="M361" s="273">
        <f>IF(F361&gt;計分版!D$13,0,1)</f>
        <v>0</v>
      </c>
      <c r="N361" s="273">
        <f>IF(G361&gt;計分版!E$13,0,1)</f>
        <v>0</v>
      </c>
      <c r="O361" s="273">
        <f>IF(H361&gt;計分版!F$13,0,1)</f>
        <v>0</v>
      </c>
      <c r="P361" s="273">
        <f>IF(I361&gt;LARGE(計分版!$G$13:$L$13,1),0,1)</f>
        <v>0</v>
      </c>
      <c r="S361" s="273">
        <f t="shared" si="13"/>
        <v>0</v>
      </c>
    </row>
    <row r="362" spans="1:19">
      <c r="A362" s="16" t="s">
        <v>1404</v>
      </c>
      <c r="B362" s="58" t="s">
        <v>1498</v>
      </c>
      <c r="C362" s="16" t="s">
        <v>1379</v>
      </c>
      <c r="E362" s="273">
        <v>3</v>
      </c>
      <c r="F362" s="273">
        <v>3</v>
      </c>
      <c r="G362" s="273">
        <v>2</v>
      </c>
      <c r="H362" s="273">
        <v>2</v>
      </c>
      <c r="I362" s="273">
        <v>2</v>
      </c>
      <c r="L362" s="273">
        <f>IF(E362&gt;計分版!C$13,0,1)</f>
        <v>0</v>
      </c>
      <c r="M362" s="273">
        <f>IF(F362&gt;計分版!D$13,0,1)</f>
        <v>0</v>
      </c>
      <c r="N362" s="273">
        <f>IF(G362&gt;計分版!E$13,0,1)</f>
        <v>0</v>
      </c>
      <c r="O362" s="273">
        <f>IF(H362&gt;計分版!F$13,0,1)</f>
        <v>0</v>
      </c>
      <c r="P362" s="273">
        <f>IF(I362&gt;LARGE(計分版!$G$13:$L$13,1),0,1)</f>
        <v>0</v>
      </c>
      <c r="S362" s="273">
        <f t="shared" si="13"/>
        <v>0</v>
      </c>
    </row>
    <row r="363" spans="1:19">
      <c r="A363" s="16" t="s">
        <v>1406</v>
      </c>
      <c r="B363" s="58" t="s">
        <v>1499</v>
      </c>
      <c r="C363" s="16" t="s">
        <v>1379</v>
      </c>
      <c r="E363" s="273">
        <v>3</v>
      </c>
      <c r="F363" s="273">
        <v>3</v>
      </c>
      <c r="G363" s="273">
        <v>2</v>
      </c>
      <c r="H363" s="273">
        <v>2</v>
      </c>
      <c r="I363" s="273">
        <v>2</v>
      </c>
      <c r="L363" s="273">
        <f>IF(E363&gt;計分版!C$13,0,1)</f>
        <v>0</v>
      </c>
      <c r="M363" s="273">
        <f>IF(F363&gt;計分版!D$13,0,1)</f>
        <v>0</v>
      </c>
      <c r="N363" s="273">
        <f>IF(G363&gt;計分版!E$13,0,1)</f>
        <v>0</v>
      </c>
      <c r="O363" s="273">
        <f>IF(H363&gt;計分版!F$13,0,1)</f>
        <v>0</v>
      </c>
      <c r="P363" s="273">
        <f>IF(I363&gt;LARGE(計分版!$G$13:$L$13,1),0,1)</f>
        <v>0</v>
      </c>
      <c r="S363" s="273">
        <f t="shared" si="13"/>
        <v>0</v>
      </c>
    </row>
    <row r="364" spans="1:19">
      <c r="A364" s="16" t="s">
        <v>1408</v>
      </c>
      <c r="B364" s="58" t="s">
        <v>1500</v>
      </c>
      <c r="C364" s="16" t="s">
        <v>1379</v>
      </c>
      <c r="E364" s="273">
        <v>3</v>
      </c>
      <c r="F364" s="273">
        <v>3</v>
      </c>
      <c r="G364" s="273">
        <v>2</v>
      </c>
      <c r="H364" s="273">
        <v>2</v>
      </c>
      <c r="I364" s="273">
        <v>2</v>
      </c>
      <c r="L364" s="273">
        <f>IF(E364&gt;計分版!C$13,0,1)</f>
        <v>0</v>
      </c>
      <c r="M364" s="273">
        <f>IF(F364&gt;計分版!D$13,0,1)</f>
        <v>0</v>
      </c>
      <c r="N364" s="273">
        <f>IF(G364&gt;計分版!E$13,0,1)</f>
        <v>0</v>
      </c>
      <c r="O364" s="273">
        <f>IF(H364&gt;計分版!F$13,0,1)</f>
        <v>0</v>
      </c>
      <c r="P364" s="273">
        <f>IF(I364&gt;LARGE(計分版!$G$13:$L$13,1),0,1)</f>
        <v>0</v>
      </c>
      <c r="S364" s="273">
        <f t="shared" si="13"/>
        <v>0</v>
      </c>
    </row>
    <row r="365" spans="1:19">
      <c r="A365" s="16" t="s">
        <v>1410</v>
      </c>
      <c r="B365" s="58" t="s">
        <v>1501</v>
      </c>
      <c r="C365" s="16" t="s">
        <v>1379</v>
      </c>
      <c r="E365" s="273">
        <v>3</v>
      </c>
      <c r="F365" s="273">
        <v>3</v>
      </c>
      <c r="G365" s="273">
        <v>2</v>
      </c>
      <c r="H365" s="273">
        <v>2</v>
      </c>
      <c r="I365" s="273">
        <v>2</v>
      </c>
      <c r="L365" s="273">
        <f>IF(E365&gt;計分版!C$13,0,1)</f>
        <v>0</v>
      </c>
      <c r="M365" s="273">
        <f>IF(F365&gt;計分版!D$13,0,1)</f>
        <v>0</v>
      </c>
      <c r="N365" s="273">
        <f>IF(G365&gt;計分版!E$13,0,1)</f>
        <v>0</v>
      </c>
      <c r="O365" s="273">
        <f>IF(H365&gt;計分版!F$13,0,1)</f>
        <v>0</v>
      </c>
      <c r="P365" s="273">
        <f>IF(I365&gt;LARGE(計分版!$G$13:$L$13,1),0,1)</f>
        <v>0</v>
      </c>
      <c r="S365" s="273">
        <f t="shared" si="13"/>
        <v>0</v>
      </c>
    </row>
    <row r="366" spans="1:19">
      <c r="A366" s="16" t="s">
        <v>1412</v>
      </c>
      <c r="B366" s="58" t="s">
        <v>1502</v>
      </c>
      <c r="C366" s="16" t="s">
        <v>1379</v>
      </c>
      <c r="E366" s="273">
        <v>3</v>
      </c>
      <c r="F366" s="273">
        <v>3</v>
      </c>
      <c r="G366" s="273">
        <v>2</v>
      </c>
      <c r="H366" s="273">
        <v>2</v>
      </c>
      <c r="I366" s="273">
        <v>2</v>
      </c>
      <c r="L366" s="273">
        <f>IF(E366&gt;計分版!C$13,0,1)</f>
        <v>0</v>
      </c>
      <c r="M366" s="273">
        <f>IF(F366&gt;計分版!D$13,0,1)</f>
        <v>0</v>
      </c>
      <c r="N366" s="273">
        <f>IF(G366&gt;計分版!E$13,0,1)</f>
        <v>0</v>
      </c>
      <c r="O366" s="273">
        <f>IF(H366&gt;計分版!F$13,0,1)</f>
        <v>0</v>
      </c>
      <c r="P366" s="273">
        <f>IF(I366&gt;LARGE(計分版!$G$13:$L$13,1),0,1)</f>
        <v>0</v>
      </c>
      <c r="S366" s="273">
        <f t="shared" si="13"/>
        <v>0</v>
      </c>
    </row>
    <row r="367" spans="1:19">
      <c r="A367" s="16" t="s">
        <v>1415</v>
      </c>
      <c r="B367" s="58" t="s">
        <v>1503</v>
      </c>
      <c r="C367" s="16" t="s">
        <v>1379</v>
      </c>
      <c r="E367" s="273">
        <v>3</v>
      </c>
      <c r="F367" s="273">
        <v>3</v>
      </c>
      <c r="G367" s="273">
        <v>2</v>
      </c>
      <c r="H367" s="273">
        <v>2</v>
      </c>
      <c r="I367" s="273">
        <v>2</v>
      </c>
      <c r="L367" s="273">
        <f>IF(E367&gt;計分版!C$13,0,1)</f>
        <v>0</v>
      </c>
      <c r="M367" s="273">
        <f>IF(F367&gt;計分版!D$13,0,1)</f>
        <v>0</v>
      </c>
      <c r="N367" s="273">
        <f>IF(G367&gt;計分版!E$13,0,1)</f>
        <v>0</v>
      </c>
      <c r="O367" s="273">
        <f>IF(H367&gt;計分版!F$13,0,1)</f>
        <v>0</v>
      </c>
      <c r="P367" s="273">
        <f>IF(I367&gt;LARGE(計分版!$G$13:$L$13,1),0,1)</f>
        <v>0</v>
      </c>
      <c r="S367" s="273">
        <f t="shared" si="13"/>
        <v>0</v>
      </c>
    </row>
    <row r="368" spans="1:19">
      <c r="A368" s="16" t="s">
        <v>1417</v>
      </c>
      <c r="B368" s="58" t="s">
        <v>1504</v>
      </c>
      <c r="C368" s="16" t="s">
        <v>1379</v>
      </c>
      <c r="E368" s="273">
        <v>3</v>
      </c>
      <c r="F368" s="273">
        <v>3</v>
      </c>
      <c r="G368" s="273">
        <v>2</v>
      </c>
      <c r="H368" s="273">
        <v>2</v>
      </c>
      <c r="I368" s="273">
        <v>2</v>
      </c>
      <c r="L368" s="273">
        <f>IF(E368&gt;計分版!C$13,0,1)</f>
        <v>0</v>
      </c>
      <c r="M368" s="273">
        <f>IF(F368&gt;計分版!D$13,0,1)</f>
        <v>0</v>
      </c>
      <c r="N368" s="273">
        <f>IF(G368&gt;計分版!E$13,0,1)</f>
        <v>0</v>
      </c>
      <c r="O368" s="273">
        <f>IF(H368&gt;計分版!F$13,0,1)</f>
        <v>0</v>
      </c>
      <c r="P368" s="273">
        <f>IF(I368&gt;LARGE(計分版!$G$13:$L$13,1),0,1)</f>
        <v>0</v>
      </c>
      <c r="S368" s="273">
        <f t="shared" si="13"/>
        <v>0</v>
      </c>
    </row>
    <row r="369" spans="1:19">
      <c r="A369" s="16" t="s">
        <v>1419</v>
      </c>
      <c r="B369" s="58" t="s">
        <v>1505</v>
      </c>
      <c r="C369" s="16" t="s">
        <v>1379</v>
      </c>
      <c r="E369" s="273">
        <v>3</v>
      </c>
      <c r="F369" s="273">
        <v>3</v>
      </c>
      <c r="G369" s="273">
        <v>2</v>
      </c>
      <c r="H369" s="273">
        <v>2</v>
      </c>
      <c r="I369" s="273">
        <v>2</v>
      </c>
      <c r="L369" s="273">
        <f>IF(E369&gt;計分版!C$13,0,1)</f>
        <v>0</v>
      </c>
      <c r="M369" s="273">
        <f>IF(F369&gt;計分版!D$13,0,1)</f>
        <v>0</v>
      </c>
      <c r="N369" s="273">
        <f>IF(G369&gt;計分版!E$13,0,1)</f>
        <v>0</v>
      </c>
      <c r="O369" s="273">
        <f>IF(H369&gt;計分版!F$13,0,1)</f>
        <v>0</v>
      </c>
      <c r="P369" s="273">
        <f>IF(I369&gt;LARGE(計分版!$G$13:$L$13,1),0,1)</f>
        <v>0</v>
      </c>
      <c r="S369" s="273">
        <f t="shared" si="13"/>
        <v>0</v>
      </c>
    </row>
    <row r="370" spans="1:19">
      <c r="A370" s="16" t="s">
        <v>1421</v>
      </c>
      <c r="B370" s="58" t="s">
        <v>1506</v>
      </c>
      <c r="C370" s="16" t="s">
        <v>1379</v>
      </c>
      <c r="E370" s="273">
        <v>3</v>
      </c>
      <c r="F370" s="273">
        <v>3</v>
      </c>
      <c r="G370" s="273">
        <v>2</v>
      </c>
      <c r="H370" s="273">
        <v>2</v>
      </c>
      <c r="I370" s="273">
        <v>2</v>
      </c>
      <c r="L370" s="273">
        <f>IF(E370&gt;計分版!C$13,0,1)</f>
        <v>0</v>
      </c>
      <c r="M370" s="273">
        <f>IF(F370&gt;計分版!D$13,0,1)</f>
        <v>0</v>
      </c>
      <c r="N370" s="273">
        <f>IF(G370&gt;計分版!E$13,0,1)</f>
        <v>0</v>
      </c>
      <c r="O370" s="273">
        <f>IF(H370&gt;計分版!F$13,0,1)</f>
        <v>0</v>
      </c>
      <c r="P370" s="273">
        <f>IF(I370&gt;LARGE(計分版!$G$13:$L$13,1),0,1)</f>
        <v>0</v>
      </c>
      <c r="S370" s="273">
        <f t="shared" si="13"/>
        <v>0</v>
      </c>
    </row>
    <row r="371" spans="1:19">
      <c r="A371" s="16" t="s">
        <v>1423</v>
      </c>
      <c r="B371" s="58" t="s">
        <v>1425</v>
      </c>
      <c r="C371" s="16" t="s">
        <v>1379</v>
      </c>
      <c r="E371" s="273">
        <v>3</v>
      </c>
      <c r="F371" s="273">
        <v>3</v>
      </c>
      <c r="G371" s="273">
        <v>2</v>
      </c>
      <c r="H371" s="273">
        <v>2</v>
      </c>
      <c r="I371" s="273">
        <v>2</v>
      </c>
      <c r="L371" s="273">
        <f>IF(E371&gt;計分版!C$13,0,1)</f>
        <v>0</v>
      </c>
      <c r="M371" s="273">
        <f>IF(F371&gt;計分版!D$13,0,1)</f>
        <v>0</v>
      </c>
      <c r="N371" s="273">
        <f>IF(G371&gt;計分版!E$13,0,1)</f>
        <v>0</v>
      </c>
      <c r="O371" s="273">
        <f>IF(H371&gt;計分版!F$13,0,1)</f>
        <v>0</v>
      </c>
      <c r="P371" s="273">
        <f>IF(I371&gt;LARGE(計分版!$G$13:$L$13,1),0,1)</f>
        <v>0</v>
      </c>
      <c r="S371" s="273">
        <f t="shared" si="13"/>
        <v>0</v>
      </c>
    </row>
    <row r="372" spans="1:19">
      <c r="A372" s="16" t="s">
        <v>1427</v>
      </c>
      <c r="B372" s="58" t="s">
        <v>1428</v>
      </c>
      <c r="C372" s="16" t="s">
        <v>1379</v>
      </c>
      <c r="E372" s="273">
        <v>3</v>
      </c>
      <c r="F372" s="273">
        <v>3</v>
      </c>
      <c r="G372" s="273">
        <v>2</v>
      </c>
      <c r="H372" s="273">
        <v>2</v>
      </c>
      <c r="I372" s="273">
        <v>2</v>
      </c>
      <c r="L372" s="273">
        <f>IF(E372&gt;計分版!C$13,0,1)</f>
        <v>0</v>
      </c>
      <c r="M372" s="273">
        <f>IF(F372&gt;計分版!D$13,0,1)</f>
        <v>0</v>
      </c>
      <c r="N372" s="273">
        <f>IF(G372&gt;計分版!E$13,0,1)</f>
        <v>0</v>
      </c>
      <c r="O372" s="273">
        <f>IF(H372&gt;計分版!F$13,0,1)</f>
        <v>0</v>
      </c>
      <c r="P372" s="273">
        <f>IF(I372&gt;LARGE(計分版!$G$13:$L$13,1),0,1)</f>
        <v>0</v>
      </c>
      <c r="S372" s="273">
        <f t="shared" si="13"/>
        <v>0</v>
      </c>
    </row>
    <row r="373" spans="1:19">
      <c r="A373" s="16" t="s">
        <v>1430</v>
      </c>
      <c r="B373" s="58" t="s">
        <v>1431</v>
      </c>
      <c r="C373" s="16" t="s">
        <v>1379</v>
      </c>
      <c r="E373" s="273">
        <v>3</v>
      </c>
      <c r="F373" s="273">
        <v>3</v>
      </c>
      <c r="G373" s="273">
        <v>2</v>
      </c>
      <c r="H373" s="273">
        <v>2</v>
      </c>
      <c r="I373" s="273">
        <v>2</v>
      </c>
      <c r="L373" s="273">
        <f>IF(E373&gt;計分版!C$13,0,1)</f>
        <v>0</v>
      </c>
      <c r="M373" s="273">
        <f>IF(F373&gt;計分版!D$13,0,1)</f>
        <v>0</v>
      </c>
      <c r="N373" s="273">
        <f>IF(G373&gt;計分版!E$13,0,1)</f>
        <v>0</v>
      </c>
      <c r="O373" s="273">
        <f>IF(H373&gt;計分版!F$13,0,1)</f>
        <v>0</v>
      </c>
      <c r="P373" s="273">
        <f>IF(I373&gt;LARGE(計分版!$G$13:$L$13,1),0,1)</f>
        <v>0</v>
      </c>
      <c r="S373" s="273">
        <f t="shared" si="13"/>
        <v>0</v>
      </c>
    </row>
    <row r="374" spans="1:19">
      <c r="A374" s="16" t="s">
        <v>1433</v>
      </c>
      <c r="B374" s="58" t="s">
        <v>1434</v>
      </c>
      <c r="C374" s="16" t="s">
        <v>1379</v>
      </c>
      <c r="E374" s="273">
        <v>3</v>
      </c>
      <c r="F374" s="273">
        <v>3</v>
      </c>
      <c r="G374" s="273">
        <v>2</v>
      </c>
      <c r="H374" s="273">
        <v>2</v>
      </c>
      <c r="I374" s="273">
        <v>2</v>
      </c>
      <c r="L374" s="273">
        <f>IF(E374&gt;計分版!C$13,0,1)</f>
        <v>0</v>
      </c>
      <c r="M374" s="273">
        <f>IF(F374&gt;計分版!D$13,0,1)</f>
        <v>0</v>
      </c>
      <c r="N374" s="273">
        <f>IF(G374&gt;計分版!E$13,0,1)</f>
        <v>0</v>
      </c>
      <c r="O374" s="273">
        <f>IF(H374&gt;計分版!F$13,0,1)</f>
        <v>0</v>
      </c>
      <c r="P374" s="273">
        <f>IF(I374&gt;LARGE(計分版!$G$13:$L$13,1),0,1)</f>
        <v>0</v>
      </c>
      <c r="S374" s="273">
        <f t="shared" si="13"/>
        <v>0</v>
      </c>
    </row>
    <row r="375" spans="1:19">
      <c r="A375" s="16" t="s">
        <v>1436</v>
      </c>
      <c r="B375" s="58" t="s">
        <v>1437</v>
      </c>
      <c r="C375" s="16" t="s">
        <v>1379</v>
      </c>
      <c r="E375" s="273">
        <v>3</v>
      </c>
      <c r="F375" s="273">
        <v>3</v>
      </c>
      <c r="G375" s="273">
        <v>2</v>
      </c>
      <c r="H375" s="273">
        <v>2</v>
      </c>
      <c r="I375" s="273">
        <v>2</v>
      </c>
      <c r="L375" s="273">
        <f>IF(E375&gt;計分版!C$13,0,1)</f>
        <v>0</v>
      </c>
      <c r="M375" s="273">
        <f>IF(F375&gt;計分版!D$13,0,1)</f>
        <v>0</v>
      </c>
      <c r="N375" s="273">
        <f>IF(G375&gt;計分版!E$13,0,1)</f>
        <v>0</v>
      </c>
      <c r="O375" s="273">
        <f>IF(H375&gt;計分版!F$13,0,1)</f>
        <v>0</v>
      </c>
      <c r="P375" s="273">
        <f>IF(I375&gt;LARGE(計分版!$G$13:$L$13,1),0,1)</f>
        <v>0</v>
      </c>
      <c r="S375" s="273">
        <f t="shared" si="13"/>
        <v>0</v>
      </c>
    </row>
    <row r="376" spans="1:19">
      <c r="A376" s="16" t="s">
        <v>1439</v>
      </c>
      <c r="B376" s="58" t="s">
        <v>1440</v>
      </c>
      <c r="C376" s="16" t="s">
        <v>1379</v>
      </c>
      <c r="E376" s="273">
        <v>3</v>
      </c>
      <c r="F376" s="273">
        <v>3</v>
      </c>
      <c r="G376" s="273">
        <v>2</v>
      </c>
      <c r="H376" s="273">
        <v>2</v>
      </c>
      <c r="I376" s="273">
        <v>2</v>
      </c>
      <c r="L376" s="273">
        <f>IF(E376&gt;計分版!C$13,0,1)</f>
        <v>0</v>
      </c>
      <c r="M376" s="273">
        <f>IF(F376&gt;計分版!D$13,0,1)</f>
        <v>0</v>
      </c>
      <c r="N376" s="273">
        <f>IF(G376&gt;計分版!E$13,0,1)</f>
        <v>0</v>
      </c>
      <c r="O376" s="273">
        <f>IF(H376&gt;計分版!F$13,0,1)</f>
        <v>0</v>
      </c>
      <c r="P376" s="273">
        <f>IF(I376&gt;LARGE(計分版!$G$13:$L$13,1),0,1)</f>
        <v>0</v>
      </c>
      <c r="S376" s="273">
        <f t="shared" si="13"/>
        <v>0</v>
      </c>
    </row>
    <row r="377" spans="1:19">
      <c r="A377" s="16" t="s">
        <v>1442</v>
      </c>
      <c r="B377" s="58" t="s">
        <v>1443</v>
      </c>
      <c r="C377" s="16" t="s">
        <v>1379</v>
      </c>
      <c r="E377" s="273">
        <v>3</v>
      </c>
      <c r="F377" s="273">
        <v>3</v>
      </c>
      <c r="G377" s="273">
        <v>2</v>
      </c>
      <c r="H377" s="273">
        <v>2</v>
      </c>
      <c r="I377" s="273">
        <v>2</v>
      </c>
      <c r="L377" s="273">
        <f>IF(E377&gt;計分版!C$13,0,1)</f>
        <v>0</v>
      </c>
      <c r="M377" s="273">
        <f>IF(F377&gt;計分版!D$13,0,1)</f>
        <v>0</v>
      </c>
      <c r="N377" s="273">
        <f>IF(G377&gt;計分版!E$13,0,1)</f>
        <v>0</v>
      </c>
      <c r="O377" s="273">
        <f>IF(H377&gt;計分版!F$13,0,1)</f>
        <v>0</v>
      </c>
      <c r="P377" s="273">
        <f>IF(I377&gt;LARGE(計分版!$G$13:$L$13,1),0,1)</f>
        <v>0</v>
      </c>
      <c r="S377" s="273">
        <f t="shared" si="13"/>
        <v>0</v>
      </c>
    </row>
    <row r="378" spans="1:19">
      <c r="A378" s="16" t="s">
        <v>1445</v>
      </c>
      <c r="B378" s="58" t="s">
        <v>1446</v>
      </c>
      <c r="C378" s="16" t="s">
        <v>214</v>
      </c>
      <c r="E378" s="273">
        <v>3</v>
      </c>
      <c r="F378" s="273">
        <v>3</v>
      </c>
      <c r="G378" s="273">
        <v>2</v>
      </c>
      <c r="H378" s="273">
        <v>2</v>
      </c>
      <c r="I378" s="273">
        <v>2</v>
      </c>
      <c r="L378" s="273">
        <f>IF(E378&gt;計分版!C$13,0,1)</f>
        <v>0</v>
      </c>
      <c r="M378" s="273">
        <f>IF(F378&gt;計分版!D$13,0,1)</f>
        <v>0</v>
      </c>
      <c r="N378" s="273">
        <f>IF(G378&gt;計分版!E$13,0,1)</f>
        <v>0</v>
      </c>
      <c r="O378" s="273">
        <f>IF(H378&gt;計分版!F$13,0,1)</f>
        <v>0</v>
      </c>
      <c r="P378" s="273">
        <f>IF(I378&gt;LARGE(計分版!$G$13:$L$13,1),0,1)</f>
        <v>0</v>
      </c>
      <c r="S378" s="273">
        <f t="shared" si="13"/>
        <v>0</v>
      </c>
    </row>
    <row r="379" spans="1:19">
      <c r="A379" s="16" t="s">
        <v>1448</v>
      </c>
      <c r="B379" s="58" t="s">
        <v>1449</v>
      </c>
      <c r="C379" s="16" t="s">
        <v>214</v>
      </c>
      <c r="E379" s="273">
        <v>3</v>
      </c>
      <c r="F379" s="273">
        <v>3</v>
      </c>
      <c r="G379" s="273">
        <v>2</v>
      </c>
      <c r="H379" s="273">
        <v>2</v>
      </c>
      <c r="I379" s="273">
        <v>2</v>
      </c>
      <c r="L379" s="273">
        <f>IF(E379&gt;計分版!C$13,0,1)</f>
        <v>0</v>
      </c>
      <c r="M379" s="273">
        <f>IF(F379&gt;計分版!D$13,0,1)</f>
        <v>0</v>
      </c>
      <c r="N379" s="273">
        <f>IF(G379&gt;計分版!E$13,0,1)</f>
        <v>0</v>
      </c>
      <c r="O379" s="273">
        <f>IF(H379&gt;計分版!F$13,0,1)</f>
        <v>0</v>
      </c>
      <c r="P379" s="273">
        <f>IF(I379&gt;LARGE(計分版!$G$13:$L$13,1),0,1)</f>
        <v>0</v>
      </c>
      <c r="S379" s="273">
        <f t="shared" si="13"/>
        <v>0</v>
      </c>
    </row>
    <row r="380" spans="1:19">
      <c r="A380" s="16" t="s">
        <v>1451</v>
      </c>
      <c r="B380" s="58" t="s">
        <v>1452</v>
      </c>
      <c r="C380" s="16" t="s">
        <v>214</v>
      </c>
      <c r="E380" s="273">
        <v>3</v>
      </c>
      <c r="F380" s="273">
        <v>3</v>
      </c>
      <c r="G380" s="273">
        <v>2</v>
      </c>
      <c r="H380" s="273">
        <v>2</v>
      </c>
      <c r="I380" s="273">
        <v>2</v>
      </c>
      <c r="L380" s="273">
        <f>IF(E380&gt;計分版!C$13,0,1)</f>
        <v>0</v>
      </c>
      <c r="M380" s="273">
        <f>IF(F380&gt;計分版!D$13,0,1)</f>
        <v>0</v>
      </c>
      <c r="N380" s="273">
        <f>IF(G380&gt;計分版!E$13,0,1)</f>
        <v>0</v>
      </c>
      <c r="O380" s="273">
        <f>IF(H380&gt;計分版!F$13,0,1)</f>
        <v>0</v>
      </c>
      <c r="P380" s="273">
        <f>IF(I380&gt;LARGE(計分版!$G$13:$L$13,1),0,1)</f>
        <v>0</v>
      </c>
      <c r="S380" s="273">
        <f t="shared" si="13"/>
        <v>0</v>
      </c>
    </row>
    <row r="381" spans="1:19">
      <c r="A381" s="16" t="s">
        <v>1454</v>
      </c>
      <c r="B381" s="58" t="s">
        <v>1455</v>
      </c>
      <c r="C381" s="16" t="s">
        <v>214</v>
      </c>
      <c r="E381" s="273">
        <v>3</v>
      </c>
      <c r="F381" s="273">
        <v>3</v>
      </c>
      <c r="G381" s="273">
        <v>2</v>
      </c>
      <c r="H381" s="273">
        <v>2</v>
      </c>
      <c r="I381" s="273">
        <v>2</v>
      </c>
      <c r="L381" s="273">
        <f>IF(E381&gt;計分版!C$13,0,1)</f>
        <v>0</v>
      </c>
      <c r="M381" s="273">
        <f>IF(F381&gt;計分版!D$13,0,1)</f>
        <v>0</v>
      </c>
      <c r="N381" s="273">
        <f>IF(G381&gt;計分版!E$13,0,1)</f>
        <v>0</v>
      </c>
      <c r="O381" s="273">
        <f>IF(H381&gt;計分版!F$13,0,1)</f>
        <v>0</v>
      </c>
      <c r="P381" s="273">
        <f>IF(I381&gt;LARGE(計分版!$G$13:$L$13,1),0,1)</f>
        <v>0</v>
      </c>
      <c r="S381" s="273">
        <f t="shared" si="13"/>
        <v>0</v>
      </c>
    </row>
    <row r="382" spans="1:19">
      <c r="A382" s="16" t="s">
        <v>1457</v>
      </c>
      <c r="B382" s="58" t="s">
        <v>1458</v>
      </c>
      <c r="C382" s="16" t="s">
        <v>214</v>
      </c>
      <c r="E382" s="273">
        <v>3</v>
      </c>
      <c r="F382" s="273">
        <v>3</v>
      </c>
      <c r="G382" s="273">
        <v>2</v>
      </c>
      <c r="H382" s="273">
        <v>2</v>
      </c>
      <c r="I382" s="273">
        <v>2</v>
      </c>
      <c r="L382" s="273">
        <f>IF(E382&gt;計分版!C$13,0,1)</f>
        <v>0</v>
      </c>
      <c r="M382" s="273">
        <f>IF(F382&gt;計分版!D$13,0,1)</f>
        <v>0</v>
      </c>
      <c r="N382" s="273">
        <f>IF(G382&gt;計分版!E$13,0,1)</f>
        <v>0</v>
      </c>
      <c r="O382" s="273">
        <f>IF(H382&gt;計分版!F$13,0,1)</f>
        <v>0</v>
      </c>
      <c r="P382" s="273">
        <f>IF(I382&gt;LARGE(計分版!$G$13:$L$13,1),0,1)</f>
        <v>0</v>
      </c>
      <c r="S382" s="273">
        <f t="shared" si="13"/>
        <v>0</v>
      </c>
    </row>
    <row r="383" spans="1:19">
      <c r="A383" s="16" t="s">
        <v>1460</v>
      </c>
      <c r="B383" s="58" t="s">
        <v>1461</v>
      </c>
      <c r="C383" s="16" t="s">
        <v>214</v>
      </c>
      <c r="E383" s="273">
        <v>3</v>
      </c>
      <c r="F383" s="273">
        <v>3</v>
      </c>
      <c r="G383" s="273">
        <v>2</v>
      </c>
      <c r="H383" s="273">
        <v>2</v>
      </c>
      <c r="I383" s="273">
        <v>2</v>
      </c>
      <c r="L383" s="273">
        <f>IF(E383&gt;計分版!C$13,0,1)</f>
        <v>0</v>
      </c>
      <c r="M383" s="273">
        <f>IF(F383&gt;計分版!D$13,0,1)</f>
        <v>0</v>
      </c>
      <c r="N383" s="273">
        <f>IF(G383&gt;計分版!E$13,0,1)</f>
        <v>0</v>
      </c>
      <c r="O383" s="273">
        <f>IF(H383&gt;計分版!F$13,0,1)</f>
        <v>0</v>
      </c>
      <c r="P383" s="273">
        <f>IF(I383&gt;LARGE(計分版!$G$13:$L$13,1),0,1)</f>
        <v>0</v>
      </c>
      <c r="S383" s="273">
        <f t="shared" si="13"/>
        <v>0</v>
      </c>
    </row>
    <row r="384" spans="1:19">
      <c r="A384" s="16" t="s">
        <v>1463</v>
      </c>
      <c r="B384" s="58" t="s">
        <v>1464</v>
      </c>
      <c r="C384" s="16" t="s">
        <v>1379</v>
      </c>
      <c r="E384" s="273">
        <v>3</v>
      </c>
      <c r="F384" s="273">
        <v>3</v>
      </c>
      <c r="G384" s="273">
        <v>2</v>
      </c>
      <c r="H384" s="273">
        <v>2</v>
      </c>
      <c r="I384" s="273">
        <v>2</v>
      </c>
      <c r="L384" s="273">
        <f>IF(E384&gt;計分版!C$13,0,1)</f>
        <v>0</v>
      </c>
      <c r="M384" s="273">
        <f>IF(F384&gt;計分版!D$13,0,1)</f>
        <v>0</v>
      </c>
      <c r="N384" s="273">
        <f>IF(G384&gt;計分版!E$13,0,1)</f>
        <v>0</v>
      </c>
      <c r="O384" s="273">
        <f>IF(H384&gt;計分版!F$13,0,1)</f>
        <v>0</v>
      </c>
      <c r="P384" s="273">
        <f>IF(I384&gt;LARGE(計分版!$G$13:$L$13,1),0,1)</f>
        <v>0</v>
      </c>
      <c r="S384" s="273">
        <f t="shared" si="13"/>
        <v>0</v>
      </c>
    </row>
    <row r="385" spans="1:19">
      <c r="A385" s="16" t="s">
        <v>1466</v>
      </c>
      <c r="B385" s="58" t="s">
        <v>1467</v>
      </c>
      <c r="C385" s="16" t="s">
        <v>1379</v>
      </c>
      <c r="E385" s="273">
        <v>3</v>
      </c>
      <c r="F385" s="273">
        <v>3</v>
      </c>
      <c r="G385" s="273">
        <v>2</v>
      </c>
      <c r="H385" s="273">
        <v>2</v>
      </c>
      <c r="I385" s="273">
        <v>2</v>
      </c>
      <c r="L385" s="273">
        <f>IF(E385&gt;計分版!C$13,0,1)</f>
        <v>0</v>
      </c>
      <c r="M385" s="273">
        <f>IF(F385&gt;計分版!D$13,0,1)</f>
        <v>0</v>
      </c>
      <c r="N385" s="273">
        <f>IF(G385&gt;計分版!E$13,0,1)</f>
        <v>0</v>
      </c>
      <c r="O385" s="273">
        <f>IF(H385&gt;計分版!F$13,0,1)</f>
        <v>0</v>
      </c>
      <c r="P385" s="273">
        <f>IF(I385&gt;LARGE(計分版!$G$13:$L$13,1),0,1)</f>
        <v>0</v>
      </c>
      <c r="S385" s="273">
        <f t="shared" si="13"/>
        <v>0</v>
      </c>
    </row>
    <row r="386" spans="1:19">
      <c r="A386" s="16" t="s">
        <v>1469</v>
      </c>
      <c r="B386" s="58" t="s">
        <v>1470</v>
      </c>
      <c r="C386" s="16" t="s">
        <v>1379</v>
      </c>
      <c r="E386" s="273">
        <v>3</v>
      </c>
      <c r="F386" s="273">
        <v>3</v>
      </c>
      <c r="G386" s="273">
        <v>2</v>
      </c>
      <c r="H386" s="273">
        <v>2</v>
      </c>
      <c r="I386" s="273">
        <v>2</v>
      </c>
      <c r="L386" s="273">
        <f>IF(E386&gt;計分版!C$13,0,1)</f>
        <v>0</v>
      </c>
      <c r="M386" s="273">
        <f>IF(F386&gt;計分版!D$13,0,1)</f>
        <v>0</v>
      </c>
      <c r="N386" s="273">
        <f>IF(G386&gt;計分版!E$13,0,1)</f>
        <v>0</v>
      </c>
      <c r="O386" s="273">
        <f>IF(H386&gt;計分版!F$13,0,1)</f>
        <v>0</v>
      </c>
      <c r="P386" s="273">
        <f>IF(I386&gt;LARGE(計分版!$G$13:$L$13,1),0,1)</f>
        <v>0</v>
      </c>
      <c r="S386" s="273">
        <f t="shared" si="13"/>
        <v>0</v>
      </c>
    </row>
    <row r="387" spans="1:19">
      <c r="A387" s="16" t="s">
        <v>1472</v>
      </c>
      <c r="B387" s="58" t="s">
        <v>1473</v>
      </c>
      <c r="C387" s="16" t="s">
        <v>1379</v>
      </c>
      <c r="E387" s="273">
        <v>3</v>
      </c>
      <c r="F387" s="273">
        <v>3</v>
      </c>
      <c r="G387" s="273">
        <v>2</v>
      </c>
      <c r="H387" s="273">
        <v>2</v>
      </c>
      <c r="I387" s="273">
        <v>2</v>
      </c>
      <c r="L387" s="273">
        <f>IF(E387&gt;計分版!C$13,0,1)</f>
        <v>0</v>
      </c>
      <c r="M387" s="273">
        <f>IF(F387&gt;計分版!D$13,0,1)</f>
        <v>0</v>
      </c>
      <c r="N387" s="273">
        <f>IF(G387&gt;計分版!E$13,0,1)</f>
        <v>0</v>
      </c>
      <c r="O387" s="273">
        <f>IF(H387&gt;計分版!F$13,0,1)</f>
        <v>0</v>
      </c>
      <c r="P387" s="273">
        <f>IF(I387&gt;LARGE(計分版!$G$13:$L$13,1),0,1)</f>
        <v>0</v>
      </c>
      <c r="S387" s="273">
        <f t="shared" si="13"/>
        <v>0</v>
      </c>
    </row>
    <row r="388" spans="1:19">
      <c r="A388" s="16" t="s">
        <v>1475</v>
      </c>
      <c r="B388" s="58" t="s">
        <v>1476</v>
      </c>
      <c r="C388" s="16" t="s">
        <v>1379</v>
      </c>
      <c r="E388" s="273">
        <v>3</v>
      </c>
      <c r="F388" s="273">
        <v>3</v>
      </c>
      <c r="G388" s="273">
        <v>2</v>
      </c>
      <c r="H388" s="273">
        <v>2</v>
      </c>
      <c r="I388" s="273">
        <v>2</v>
      </c>
      <c r="L388" s="273">
        <f>IF(E388&gt;計分版!C$13,0,1)</f>
        <v>0</v>
      </c>
      <c r="M388" s="273">
        <f>IF(F388&gt;計分版!D$13,0,1)</f>
        <v>0</v>
      </c>
      <c r="N388" s="273">
        <f>IF(G388&gt;計分版!E$13,0,1)</f>
        <v>0</v>
      </c>
      <c r="O388" s="273">
        <f>IF(H388&gt;計分版!F$13,0,1)</f>
        <v>0</v>
      </c>
      <c r="P388" s="273">
        <f>IF(I388&gt;LARGE(計分版!$G$13:$L$13,1),0,1)</f>
        <v>0</v>
      </c>
      <c r="S388" s="273">
        <f t="shared" si="13"/>
        <v>0</v>
      </c>
    </row>
    <row r="389" spans="1:19">
      <c r="A389" s="16" t="s">
        <v>1478</v>
      </c>
      <c r="B389" s="58" t="s">
        <v>1479</v>
      </c>
      <c r="C389" s="16" t="s">
        <v>1379</v>
      </c>
      <c r="E389" s="273">
        <v>3</v>
      </c>
      <c r="F389" s="273">
        <v>3</v>
      </c>
      <c r="G389" s="273">
        <v>2</v>
      </c>
      <c r="H389" s="273">
        <v>2</v>
      </c>
      <c r="I389" s="273">
        <v>2</v>
      </c>
      <c r="L389" s="273">
        <f>IF(E389&gt;計分版!C$13,0,1)</f>
        <v>0</v>
      </c>
      <c r="M389" s="273">
        <f>IF(F389&gt;計分版!D$13,0,1)</f>
        <v>0</v>
      </c>
      <c r="N389" s="273">
        <f>IF(G389&gt;計分版!E$13,0,1)</f>
        <v>0</v>
      </c>
      <c r="O389" s="273">
        <f>IF(H389&gt;計分版!F$13,0,1)</f>
        <v>0</v>
      </c>
      <c r="P389" s="273">
        <f>IF(I389&gt;LARGE(計分版!$G$13:$L$13,1),0,1)</f>
        <v>0</v>
      </c>
      <c r="S389" s="273">
        <f t="shared" si="13"/>
        <v>0</v>
      </c>
    </row>
    <row r="390" spans="1:19">
      <c r="A390" s="16" t="s">
        <v>1481</v>
      </c>
      <c r="B390" s="58" t="s">
        <v>1482</v>
      </c>
      <c r="C390" s="16" t="s">
        <v>1379</v>
      </c>
      <c r="E390" s="273">
        <v>3</v>
      </c>
      <c r="F390" s="273">
        <v>3</v>
      </c>
      <c r="G390" s="273">
        <v>2</v>
      </c>
      <c r="H390" s="273">
        <v>2</v>
      </c>
      <c r="I390" s="273">
        <v>2</v>
      </c>
      <c r="L390" s="273">
        <f>IF(E390&gt;計分版!C$13,0,1)</f>
        <v>0</v>
      </c>
      <c r="M390" s="273">
        <f>IF(F390&gt;計分版!D$13,0,1)</f>
        <v>0</v>
      </c>
      <c r="N390" s="273">
        <f>IF(G390&gt;計分版!E$13,0,1)</f>
        <v>0</v>
      </c>
      <c r="O390" s="273">
        <f>IF(H390&gt;計分版!F$13,0,1)</f>
        <v>0</v>
      </c>
      <c r="P390" s="273">
        <f>IF(I390&gt;LARGE(計分版!$G$13:$L$13,1),0,1)</f>
        <v>0</v>
      </c>
      <c r="S390" s="273">
        <f t="shared" si="13"/>
        <v>0</v>
      </c>
    </row>
    <row r="391" spans="1:19">
      <c r="A391" s="16" t="s">
        <v>1484</v>
      </c>
      <c r="B391" s="58" t="s">
        <v>1485</v>
      </c>
      <c r="C391" s="16" t="s">
        <v>1379</v>
      </c>
      <c r="E391" s="273">
        <v>3</v>
      </c>
      <c r="F391" s="273">
        <v>3</v>
      </c>
      <c r="G391" s="273">
        <v>2</v>
      </c>
      <c r="H391" s="273">
        <v>2</v>
      </c>
      <c r="I391" s="273">
        <v>2</v>
      </c>
      <c r="L391" s="273">
        <f>IF(E391&gt;計分版!C$13,0,1)</f>
        <v>0</v>
      </c>
      <c r="M391" s="273">
        <f>IF(F391&gt;計分版!D$13,0,1)</f>
        <v>0</v>
      </c>
      <c r="N391" s="273">
        <f>IF(G391&gt;計分版!E$13,0,1)</f>
        <v>0</v>
      </c>
      <c r="O391" s="273">
        <f>IF(H391&gt;計分版!F$13,0,1)</f>
        <v>0</v>
      </c>
      <c r="P391" s="273">
        <f>IF(I391&gt;LARGE(計分版!$G$13:$L$13,1),0,1)</f>
        <v>0</v>
      </c>
      <c r="S391" s="273">
        <f t="shared" si="13"/>
        <v>0</v>
      </c>
    </row>
    <row r="392" spans="1:19">
      <c r="A392" s="16" t="s">
        <v>1487</v>
      </c>
      <c r="B392" s="58" t="s">
        <v>1488</v>
      </c>
      <c r="C392" s="16" t="s">
        <v>1379</v>
      </c>
      <c r="E392" s="273">
        <v>3</v>
      </c>
      <c r="F392" s="273">
        <v>3</v>
      </c>
      <c r="G392" s="273">
        <v>2</v>
      </c>
      <c r="H392" s="273">
        <v>2</v>
      </c>
      <c r="I392" s="273">
        <v>2</v>
      </c>
      <c r="L392" s="273">
        <f>IF(E392&gt;計分版!C$13,0,1)</f>
        <v>0</v>
      </c>
      <c r="M392" s="273">
        <f>IF(F392&gt;計分版!D$13,0,1)</f>
        <v>0</v>
      </c>
      <c r="N392" s="273">
        <f>IF(G392&gt;計分版!E$13,0,1)</f>
        <v>0</v>
      </c>
      <c r="O392" s="273">
        <f>IF(H392&gt;計分版!F$13,0,1)</f>
        <v>0</v>
      </c>
      <c r="P392" s="273">
        <f>IF(I392&gt;LARGE(計分版!$G$13:$L$13,1),0,1)</f>
        <v>0</v>
      </c>
      <c r="S392" s="273">
        <f t="shared" si="13"/>
        <v>0</v>
      </c>
    </row>
  </sheetData>
  <mergeCells count="3">
    <mergeCell ref="D9:D11"/>
    <mergeCell ref="D60:D61"/>
    <mergeCell ref="D85:D86"/>
  </mergeCells>
  <phoneticPr fontId="2" type="noConversion"/>
  <conditionalFormatting sqref="F49:F110">
    <cfRule type="cellIs" dxfId="703" priority="432" operator="lessThan">
      <formula>"計分版!$D$4"</formula>
    </cfRule>
  </conditionalFormatting>
  <conditionalFormatting sqref="L49:Q110 N34:O34 Q34 N35:Q44 N3:Q33">
    <cfRule type="cellIs" dxfId="702" priority="373" operator="equal">
      <formula>0</formula>
    </cfRule>
    <cfRule type="cellIs" dxfId="701" priority="374" operator="equal">
      <formula>2</formula>
    </cfRule>
    <cfRule type="cellIs" dxfId="700" priority="375" operator="equal">
      <formula>1</formula>
    </cfRule>
  </conditionalFormatting>
  <conditionalFormatting sqref="S49:S110">
    <cfRule type="cellIs" dxfId="699" priority="370" operator="equal">
      <formula>2</formula>
    </cfRule>
    <cfRule type="cellIs" dxfId="698" priority="371" operator="equal">
      <formula>1</formula>
    </cfRule>
    <cfRule type="cellIs" dxfId="697" priority="372" operator="equal">
      <formula>0</formula>
    </cfRule>
  </conditionalFormatting>
  <conditionalFormatting sqref="L3:L44">
    <cfRule type="cellIs" dxfId="696" priority="326" operator="equal">
      <formula>0</formula>
    </cfRule>
    <cfRule type="cellIs" dxfId="695" priority="327" operator="equal">
      <formula>2</formula>
    </cfRule>
    <cfRule type="cellIs" dxfId="694" priority="328" operator="equal">
      <formula>1</formula>
    </cfRule>
  </conditionalFormatting>
  <conditionalFormatting sqref="M3:M44">
    <cfRule type="cellIs" dxfId="693" priority="323" operator="equal">
      <formula>0</formula>
    </cfRule>
    <cfRule type="cellIs" dxfId="692" priority="324" operator="equal">
      <formula>2</formula>
    </cfRule>
    <cfRule type="cellIs" dxfId="691" priority="325" operator="equal">
      <formula>1</formula>
    </cfRule>
  </conditionalFormatting>
  <conditionalFormatting sqref="F3:F44">
    <cfRule type="cellIs" dxfId="690" priority="317" operator="lessThan">
      <formula>"計分版!$D$4"</formula>
    </cfRule>
  </conditionalFormatting>
  <conditionalFormatting sqref="S3:S44">
    <cfRule type="cellIs" dxfId="689" priority="279" operator="equal">
      <formula>2</formula>
    </cfRule>
    <cfRule type="cellIs" dxfId="688" priority="280" operator="equal">
      <formula>1</formula>
    </cfRule>
    <cfRule type="cellIs" dxfId="687" priority="281" operator="equal">
      <formula>0</formula>
    </cfRule>
  </conditionalFormatting>
  <conditionalFormatting sqref="L140:O183 L185:M194">
    <cfRule type="cellIs" dxfId="686" priority="253" operator="equal">
      <formula>0</formula>
    </cfRule>
    <cfRule type="cellIs" dxfId="685" priority="254" operator="equal">
      <formula>2</formula>
    </cfRule>
    <cfRule type="cellIs" dxfId="684" priority="255" operator="equal">
      <formula>1</formula>
    </cfRule>
  </conditionalFormatting>
  <conditionalFormatting sqref="S139:S183">
    <cfRule type="cellIs" dxfId="683" priority="250" operator="equal">
      <formula>2</formula>
    </cfRule>
    <cfRule type="cellIs" dxfId="682" priority="251" operator="equal">
      <formula>1</formula>
    </cfRule>
    <cfRule type="cellIs" dxfId="681" priority="252" operator="equal">
      <formula>0</formula>
    </cfRule>
  </conditionalFormatting>
  <conditionalFormatting sqref="P139:Q183">
    <cfRule type="cellIs" dxfId="680" priority="232" operator="equal">
      <formula>0</formula>
    </cfRule>
    <cfRule type="cellIs" dxfId="679" priority="233" operator="equal">
      <formula>2</formula>
    </cfRule>
    <cfRule type="cellIs" dxfId="678" priority="234" operator="equal">
      <formula>1</formula>
    </cfRule>
  </conditionalFormatting>
  <conditionalFormatting sqref="P113:Q135">
    <cfRule type="cellIs" dxfId="677" priority="229" operator="equal">
      <formula>0</formula>
    </cfRule>
    <cfRule type="cellIs" dxfId="676" priority="230" operator="equal">
      <formula>2</formula>
    </cfRule>
    <cfRule type="cellIs" dxfId="675" priority="231" operator="equal">
      <formula>1</formula>
    </cfRule>
  </conditionalFormatting>
  <conditionalFormatting sqref="L139:O139">
    <cfRule type="cellIs" dxfId="674" priority="226" operator="equal">
      <formula>0</formula>
    </cfRule>
    <cfRule type="cellIs" dxfId="673" priority="227" operator="equal">
      <formula>2</formula>
    </cfRule>
    <cfRule type="cellIs" dxfId="672" priority="228" operator="equal">
      <formula>1</formula>
    </cfRule>
  </conditionalFormatting>
  <conditionalFormatting sqref="L113:O135">
    <cfRule type="cellIs" dxfId="671" priority="223" operator="equal">
      <formula>0</formula>
    </cfRule>
    <cfRule type="cellIs" dxfId="670" priority="224" operator="equal">
      <formula>2</formula>
    </cfRule>
    <cfRule type="cellIs" dxfId="669" priority="225" operator="equal">
      <formula>1</formula>
    </cfRule>
  </conditionalFormatting>
  <conditionalFormatting sqref="S113:S135">
    <cfRule type="cellIs" dxfId="668" priority="220" operator="equal">
      <formula>2</formula>
    </cfRule>
    <cfRule type="cellIs" dxfId="667" priority="221" operator="equal">
      <formula>1</formula>
    </cfRule>
    <cfRule type="cellIs" dxfId="666" priority="222" operator="equal">
      <formula>0</formula>
    </cfRule>
  </conditionalFormatting>
  <conditionalFormatting sqref="L197:P219">
    <cfRule type="cellIs" dxfId="665" priority="177" operator="equal">
      <formula>2</formula>
    </cfRule>
    <cfRule type="cellIs" dxfId="664" priority="178" operator="equal">
      <formula>1</formula>
    </cfRule>
    <cfRule type="cellIs" dxfId="663" priority="179" operator="equal">
      <formula>0</formula>
    </cfRule>
  </conditionalFormatting>
  <conditionalFormatting sqref="S197:S219">
    <cfRule type="cellIs" dxfId="662" priority="174" operator="equal">
      <formula>2</formula>
    </cfRule>
    <cfRule type="cellIs" dxfId="661" priority="175" operator="equal">
      <formula>1</formula>
    </cfRule>
    <cfRule type="cellIs" dxfId="660" priority="176" operator="equal">
      <formula>0</formula>
    </cfRule>
  </conditionalFormatting>
  <conditionalFormatting sqref="L223:O244 L246:O267 L269:O272">
    <cfRule type="cellIs" dxfId="659" priority="147" operator="equal">
      <formula>0</formula>
    </cfRule>
    <cfRule type="cellIs" dxfId="658" priority="148" operator="equal">
      <formula>2</formula>
    </cfRule>
    <cfRule type="cellIs" dxfId="657" priority="149" operator="equal">
      <formula>1</formula>
    </cfRule>
  </conditionalFormatting>
  <conditionalFormatting sqref="P222:Q244 P247:Q272 P245:P246">
    <cfRule type="cellIs" dxfId="656" priority="144" operator="equal">
      <formula>0</formula>
    </cfRule>
    <cfRule type="cellIs" dxfId="655" priority="145" operator="equal">
      <formula>2</formula>
    </cfRule>
    <cfRule type="cellIs" dxfId="654" priority="146" operator="equal">
      <formula>1</formula>
    </cfRule>
  </conditionalFormatting>
  <conditionalFormatting sqref="L222:O222 L245:O245 L268:O268">
    <cfRule type="cellIs" dxfId="653" priority="141" operator="equal">
      <formula>0</formula>
    </cfRule>
    <cfRule type="cellIs" dxfId="652" priority="142" operator="equal">
      <formula>2</formula>
    </cfRule>
    <cfRule type="cellIs" dxfId="651" priority="143" operator="equal">
      <formula>1</formula>
    </cfRule>
  </conditionalFormatting>
  <conditionalFormatting sqref="S222:S272">
    <cfRule type="cellIs" dxfId="650" priority="116" operator="equal">
      <formula>2</formula>
    </cfRule>
    <cfRule type="cellIs" dxfId="649" priority="117" operator="equal">
      <formula>1</formula>
    </cfRule>
    <cfRule type="cellIs" dxfId="648" priority="118" operator="equal">
      <formula>0</formula>
    </cfRule>
  </conditionalFormatting>
  <conditionalFormatting sqref="L275:O286">
    <cfRule type="cellIs" dxfId="647" priority="97" operator="equal">
      <formula>0</formula>
    </cfRule>
    <cfRule type="cellIs" dxfId="646" priority="98" operator="equal">
      <formula>2</formula>
    </cfRule>
    <cfRule type="cellIs" dxfId="645" priority="99" operator="equal">
      <formula>1</formula>
    </cfRule>
  </conditionalFormatting>
  <conditionalFormatting sqref="P275:P286">
    <cfRule type="cellIs" dxfId="644" priority="94" operator="equal">
      <formula>0</formula>
    </cfRule>
    <cfRule type="cellIs" dxfId="643" priority="95" operator="equal">
      <formula>2</formula>
    </cfRule>
    <cfRule type="cellIs" dxfId="642" priority="96" operator="equal">
      <formula>1</formula>
    </cfRule>
  </conditionalFormatting>
  <conditionalFormatting sqref="S275:S286">
    <cfRule type="cellIs" dxfId="641" priority="91" operator="equal">
      <formula>2</formula>
    </cfRule>
    <cfRule type="cellIs" dxfId="640" priority="92" operator="equal">
      <formula>1</formula>
    </cfRule>
    <cfRule type="cellIs" dxfId="639" priority="93" operator="equal">
      <formula>0</formula>
    </cfRule>
  </conditionalFormatting>
  <conditionalFormatting sqref="P289:Q317">
    <cfRule type="cellIs" dxfId="638" priority="76" operator="equal">
      <formula>0</formula>
    </cfRule>
    <cfRule type="cellIs" dxfId="637" priority="77" operator="equal">
      <formula>2</formula>
    </cfRule>
    <cfRule type="cellIs" dxfId="636" priority="78" operator="equal">
      <formula>1</formula>
    </cfRule>
  </conditionalFormatting>
  <conditionalFormatting sqref="L289:O317">
    <cfRule type="cellIs" dxfId="635" priority="73" operator="equal">
      <formula>0</formula>
    </cfRule>
    <cfRule type="cellIs" dxfId="634" priority="74" operator="equal">
      <formula>2</formula>
    </cfRule>
    <cfRule type="cellIs" dxfId="633" priority="75" operator="equal">
      <formula>1</formula>
    </cfRule>
  </conditionalFormatting>
  <conditionalFormatting sqref="S289:S317">
    <cfRule type="cellIs" dxfId="632" priority="70" operator="equal">
      <formula>2</formula>
    </cfRule>
    <cfRule type="cellIs" dxfId="631" priority="71" operator="equal">
      <formula>1</formula>
    </cfRule>
    <cfRule type="cellIs" dxfId="630" priority="72" operator="equal">
      <formula>0</formula>
    </cfRule>
  </conditionalFormatting>
  <conditionalFormatting sqref="P34">
    <cfRule type="cellIs" dxfId="629" priority="45" operator="equal">
      <formula>0</formula>
    </cfRule>
    <cfRule type="cellIs" dxfId="628" priority="46" operator="equal">
      <formula>2</formula>
    </cfRule>
    <cfRule type="cellIs" dxfId="627" priority="47" operator="equal">
      <formula>1</formula>
    </cfRule>
  </conditionalFormatting>
  <conditionalFormatting sqref="N185:P194">
    <cfRule type="cellIs" dxfId="626" priority="42" operator="equal">
      <formula>0</formula>
    </cfRule>
    <cfRule type="cellIs" dxfId="625" priority="43" operator="equal">
      <formula>2</formula>
    </cfRule>
    <cfRule type="cellIs" dxfId="624" priority="44" operator="equal">
      <formula>1</formula>
    </cfRule>
  </conditionalFormatting>
  <conditionalFormatting sqref="S185:S194">
    <cfRule type="cellIs" dxfId="623" priority="39" operator="equal">
      <formula>2</formula>
    </cfRule>
    <cfRule type="cellIs" dxfId="622" priority="40" operator="equal">
      <formula>1</formula>
    </cfRule>
    <cfRule type="cellIs" dxfId="621" priority="41" operator="equal">
      <formula>0</formula>
    </cfRule>
  </conditionalFormatting>
  <conditionalFormatting sqref="L320:O353">
    <cfRule type="cellIs" dxfId="620" priority="26" operator="equal">
      <formula>0</formula>
    </cfRule>
    <cfRule type="cellIs" dxfId="619" priority="27" operator="equal">
      <formula>2</formula>
    </cfRule>
    <cfRule type="cellIs" dxfId="618" priority="28" operator="equal">
      <formula>1</formula>
    </cfRule>
  </conditionalFormatting>
  <conditionalFormatting sqref="S320:S353">
    <cfRule type="cellIs" dxfId="617" priority="23" operator="equal">
      <formula>2</formula>
    </cfRule>
    <cfRule type="cellIs" dxfId="616" priority="24" operator="equal">
      <formula>1</formula>
    </cfRule>
    <cfRule type="cellIs" dxfId="615" priority="25" operator="equal">
      <formula>0</formula>
    </cfRule>
  </conditionalFormatting>
  <conditionalFormatting sqref="P320:P353">
    <cfRule type="cellIs" dxfId="614" priority="20" operator="equal">
      <formula>0</formula>
    </cfRule>
    <cfRule type="cellIs" dxfId="613" priority="21" operator="equal">
      <formula>2</formula>
    </cfRule>
    <cfRule type="cellIs" dxfId="612" priority="22" operator="equal">
      <formula>1</formula>
    </cfRule>
  </conditionalFormatting>
  <conditionalFormatting sqref="L356:O392">
    <cfRule type="cellIs" dxfId="611" priority="7" operator="equal">
      <formula>0</formula>
    </cfRule>
    <cfRule type="cellIs" dxfId="610" priority="8" operator="equal">
      <formula>2</formula>
    </cfRule>
    <cfRule type="cellIs" dxfId="609" priority="9" operator="equal">
      <formula>1</formula>
    </cfRule>
  </conditionalFormatting>
  <conditionalFormatting sqref="S356:S392">
    <cfRule type="cellIs" dxfId="608" priority="4" operator="equal">
      <formula>2</formula>
    </cfRule>
    <cfRule type="cellIs" dxfId="607" priority="5" operator="equal">
      <formula>1</formula>
    </cfRule>
    <cfRule type="cellIs" dxfId="606" priority="6" operator="equal">
      <formula>0</formula>
    </cfRule>
  </conditionalFormatting>
  <conditionalFormatting sqref="P356:P392">
    <cfRule type="cellIs" dxfId="605" priority="1" operator="equal">
      <formula>0</formula>
    </cfRule>
    <cfRule type="cellIs" dxfId="604" priority="2" operator="equal">
      <formula>2</formula>
    </cfRule>
    <cfRule type="cellIs" dxfId="603" priority="3" operator="equal">
      <formula>1</formula>
    </cfRule>
  </conditionalFormatting>
  <pageMargins left="0.7" right="0.7" top="0.75" bottom="0.75" header="0.3" footer="0.3"/>
  <pageSetup paperSize="9" orientation="portrait" horizontalDpi="1200" verticalDpi="1200" r:id="rId1"/>
  <legacyDrawing r:id="rId2"/>
  <extLst>
    <ext xmlns:x14="http://schemas.microsoft.com/office/spreadsheetml/2009/9/main" uri="{78C0D931-6437-407d-A8EE-F0AAD7539E65}">
      <x14:conditionalFormattings>
        <x14:conditionalFormatting xmlns:xm="http://schemas.microsoft.com/office/excel/2006/main">
          <x14:cfRule type="cellIs" priority="190" operator="lessThan" id="{222CD66C-1AA6-4479-B007-526BE3585B60}">
            <xm:f>計分版!$D$4</xm:f>
            <x14:dxf>
              <font>
                <color rgb="FF006100"/>
              </font>
              <fill>
                <patternFill>
                  <bgColor rgb="FFC6EFCE"/>
                </patternFill>
              </fill>
            </x14:dxf>
          </x14:cfRule>
          <xm:sqref>F197:F207</xm:sqref>
        </x14:conditionalFormatting>
        <x14:conditionalFormatting xmlns:xm="http://schemas.microsoft.com/office/excel/2006/main">
          <x14:cfRule type="cellIs" priority="182" operator="lessThan" id="{50DF53DB-340B-4C2F-BAD3-2A63571543F8}">
            <xm:f>計分版!$D$4</xm:f>
            <x14:dxf>
              <font>
                <color rgb="FF006100"/>
              </font>
              <fill>
                <patternFill>
                  <bgColor rgb="FFC6EFCE"/>
                </patternFill>
              </fill>
            </x14:dxf>
          </x14:cfRule>
          <xm:sqref>F208:F219</xm:sqref>
        </x14:conditionalFormatting>
        <x14:conditionalFormatting xmlns:xm="http://schemas.microsoft.com/office/excel/2006/main">
          <x14:cfRule type="cellIs" priority="160" operator="lessThan" id="{EA423C80-BE4D-4F0C-962F-81C38CE3B042}">
            <xm:f>計分版!$D$4</xm:f>
            <x14:dxf>
              <font>
                <color rgb="FF006100"/>
              </font>
              <fill>
                <patternFill>
                  <bgColor rgb="FFC6EFCE"/>
                </patternFill>
              </fill>
            </x14:dxf>
          </x14:cfRule>
          <xm:sqref>F222:F272</xm:sqref>
        </x14:conditionalFormatting>
        <x14:conditionalFormatting xmlns:xm="http://schemas.microsoft.com/office/excel/2006/main">
          <x14:cfRule type="cellIs" priority="389" operator="lessThan" id="{7C8F80EF-21BD-4BAD-A404-B6CB2665B6BD}">
            <xm:f>計分版!$V$115</xm:f>
            <x14:dxf>
              <font>
                <color rgb="FF006100"/>
              </font>
              <fill>
                <patternFill>
                  <bgColor rgb="FFC6EFCE"/>
                </patternFill>
              </fill>
            </x14:dxf>
          </x14:cfRule>
          <x14:cfRule type="cellIs" priority="390" operator="greaterThan" id="{B6A45F37-CD52-4D3A-865C-246C6E841EC5}">
            <xm:f>計分版!$V$115</xm:f>
            <x14:dxf>
              <font>
                <color rgb="FF9C0006"/>
              </font>
              <fill>
                <patternFill>
                  <bgColor rgb="FFFFC7CE"/>
                </patternFill>
              </fill>
            </x14:dxf>
          </x14:cfRule>
          <xm:sqref>J93</xm:sqref>
        </x14:conditionalFormatting>
        <x14:conditionalFormatting xmlns:xm="http://schemas.microsoft.com/office/excel/2006/main">
          <x14:cfRule type="expression" priority="369" id="{3EC9CF1B-AD95-4EE7-89FD-7C46FCBF26F0}">
            <xm:f>計分版!$P$101="無"</xm:f>
            <x14:dxf>
              <font>
                <color rgb="FF9C0006"/>
              </font>
              <fill>
                <patternFill>
                  <bgColor rgb="FFFFC7CE"/>
                </patternFill>
              </fill>
            </x14:dxf>
          </x14:cfRule>
          <xm:sqref>I85:I86</xm:sqref>
        </x14:conditionalFormatting>
        <x14:conditionalFormatting xmlns:xm="http://schemas.microsoft.com/office/excel/2006/main">
          <x14:cfRule type="expression" priority="302" id="{ABBC6DE8-7214-4570-B01F-DA72A1A56A0C}">
            <xm:f>計分版!$P$23=0</xm:f>
            <x14:dxf>
              <font>
                <color rgb="FF9C0006"/>
              </font>
              <fill>
                <patternFill>
                  <bgColor rgb="FFFFC7CE"/>
                </patternFill>
              </fill>
            </x14:dxf>
          </x14:cfRule>
          <xm:sqref>I16</xm:sqref>
        </x14:conditionalFormatting>
        <x14:conditionalFormatting xmlns:xm="http://schemas.microsoft.com/office/excel/2006/main">
          <x14:cfRule type="expression" priority="301" id="{C45AD76C-963A-40BD-9A00-0393B9B60502}">
            <xm:f>計分版!$P$23=0</xm:f>
            <x14:dxf>
              <font>
                <color rgb="FF9C0006"/>
              </font>
              <fill>
                <patternFill>
                  <bgColor rgb="FFFFC7CE"/>
                </patternFill>
              </fill>
            </x14:dxf>
          </x14:cfRule>
          <xm:sqref>I20</xm:sqref>
        </x14:conditionalFormatting>
        <x14:conditionalFormatting xmlns:xm="http://schemas.microsoft.com/office/excel/2006/main">
          <x14:cfRule type="expression" priority="300" id="{80B51B64-ABBC-48BF-B994-641D34CDDE85}">
            <xm:f>計分版!$P$23=0</xm:f>
            <x14:dxf>
              <font>
                <color rgb="FF9C0006"/>
              </font>
              <fill>
                <patternFill>
                  <bgColor rgb="FFFFC7CE"/>
                </patternFill>
              </fill>
            </x14:dxf>
          </x14:cfRule>
          <xm:sqref>I21</xm:sqref>
        </x14:conditionalFormatting>
        <x14:conditionalFormatting xmlns:xm="http://schemas.microsoft.com/office/excel/2006/main">
          <x14:cfRule type="expression" priority="299" id="{AACE5C6A-0976-4ADE-A7DA-B814F2965385}">
            <xm:f>計分版!$P$23=0</xm:f>
            <x14:dxf>
              <font>
                <color rgb="FF9C0006"/>
              </font>
              <fill>
                <patternFill>
                  <bgColor rgb="FFFFC7CE"/>
                </patternFill>
              </fill>
            </x14:dxf>
          </x14:cfRule>
          <xm:sqref>I31</xm:sqref>
        </x14:conditionalFormatting>
        <x14:conditionalFormatting xmlns:xm="http://schemas.microsoft.com/office/excel/2006/main">
          <x14:cfRule type="expression" priority="290" id="{9FFF2851-8E2F-4AA7-97A9-B3D3900A7A72}">
            <xm:f>計分版!$P$23=0</xm:f>
            <x14:dxf>
              <font>
                <color rgb="FF9C0006"/>
              </font>
              <fill>
                <patternFill>
                  <bgColor rgb="FFFFC7CE"/>
                </patternFill>
              </fill>
            </x14:dxf>
          </x14:cfRule>
          <xm:sqref>I35</xm:sqref>
        </x14:conditionalFormatting>
        <x14:conditionalFormatting xmlns:xm="http://schemas.microsoft.com/office/excel/2006/main">
          <x14:cfRule type="expression" priority="289" stopIfTrue="1" id="{4D7562A9-DE75-425D-88D0-B787C4B5CD88}">
            <xm:f>計分版!$P$29=0</xm:f>
            <x14:dxf>
              <font>
                <color rgb="FF9C0006"/>
              </font>
              <fill>
                <patternFill>
                  <bgColor rgb="FFFFC7CE"/>
                </patternFill>
              </fill>
            </x14:dxf>
          </x14:cfRule>
          <xm:sqref>I29</xm:sqref>
        </x14:conditionalFormatting>
        <x14:conditionalFormatting xmlns:xm="http://schemas.microsoft.com/office/excel/2006/main">
          <x14:cfRule type="expression" priority="288" stopIfTrue="1" id="{B9A4D0B7-08E9-4075-A1A0-A04FE6CF1EC8}">
            <xm:f>計分版!$P$29=0</xm:f>
            <x14:dxf>
              <font>
                <color rgb="FF9C0006"/>
              </font>
              <fill>
                <patternFill>
                  <bgColor rgb="FFFFC7CE"/>
                </patternFill>
              </fill>
            </x14:dxf>
          </x14:cfRule>
          <xm:sqref>I32</xm:sqref>
        </x14:conditionalFormatting>
        <x14:conditionalFormatting xmlns:xm="http://schemas.microsoft.com/office/excel/2006/main">
          <x14:cfRule type="expression" priority="287" stopIfTrue="1" id="{552D0528-A2CF-48C1-BFBF-95620B9FEE77}">
            <xm:f>計分版!$P$29=0</xm:f>
            <x14:dxf>
              <font>
                <color rgb="FF9C0006"/>
              </font>
              <fill>
                <patternFill>
                  <bgColor rgb="FFFFC7CE"/>
                </patternFill>
              </fill>
            </x14:dxf>
          </x14:cfRule>
          <xm:sqref>I33</xm:sqref>
        </x14:conditionalFormatting>
        <x14:conditionalFormatting xmlns:xm="http://schemas.microsoft.com/office/excel/2006/main">
          <x14:cfRule type="expression" priority="286" stopIfTrue="1" id="{AF6FCA51-910A-4819-B71A-03DE24F86162}">
            <xm:f>計分版!$P$27=0</xm:f>
            <x14:dxf>
              <font>
                <color rgb="FF9C0006"/>
              </font>
              <fill>
                <patternFill>
                  <bgColor rgb="FFFFC7CE"/>
                </patternFill>
              </fill>
            </x14:dxf>
          </x14:cfRule>
          <xm:sqref>I23</xm:sqref>
        </x14:conditionalFormatting>
        <x14:conditionalFormatting xmlns:xm="http://schemas.microsoft.com/office/excel/2006/main">
          <x14:cfRule type="expression" priority="285" stopIfTrue="1" id="{7C19B887-2B19-42EB-9348-A9DC5E11DE60}">
            <xm:f>計分版!$P$27=0</xm:f>
            <x14:dxf>
              <font>
                <color rgb="FF9C0006"/>
              </font>
              <fill>
                <patternFill>
                  <bgColor rgb="FFFFC7CE"/>
                </patternFill>
              </fill>
            </x14:dxf>
          </x14:cfRule>
          <xm:sqref>I24</xm:sqref>
        </x14:conditionalFormatting>
        <x14:conditionalFormatting xmlns:xm="http://schemas.microsoft.com/office/excel/2006/main">
          <x14:cfRule type="expression" priority="284" stopIfTrue="1" id="{A5C0A005-62E9-4148-87AA-1CD5FA11CDD1}">
            <xm:f>計分版!$P$27=0</xm:f>
            <x14:dxf>
              <font>
                <color rgb="FF9C0006"/>
              </font>
              <fill>
                <patternFill>
                  <bgColor rgb="FFFFC7CE"/>
                </patternFill>
              </fill>
            </x14:dxf>
          </x14:cfRule>
          <xm:sqref>I25</xm:sqref>
        </x14:conditionalFormatting>
        <x14:conditionalFormatting xmlns:xm="http://schemas.microsoft.com/office/excel/2006/main">
          <x14:cfRule type="expression" priority="283" stopIfTrue="1" id="{57B6B213-A4F3-4645-840C-D4451CB4F3BF}">
            <xm:f>計分版!$P$27=0</xm:f>
            <x14:dxf>
              <font>
                <color rgb="FF9C0006"/>
              </font>
              <fill>
                <patternFill>
                  <bgColor rgb="FFFFC7CE"/>
                </patternFill>
              </fill>
            </x14:dxf>
          </x14:cfRule>
          <xm:sqref>I26</xm:sqref>
        </x14:conditionalFormatting>
        <x14:conditionalFormatting xmlns:xm="http://schemas.microsoft.com/office/excel/2006/main">
          <x14:cfRule type="cellIs" priority="437" operator="greaterThan" id="{CC73C125-499D-4018-BBB2-02A9E1737D44}">
            <xm:f>計分版!$D$13</xm:f>
            <x14:dxf>
              <font>
                <color rgb="FF9C0006"/>
              </font>
              <fill>
                <patternFill>
                  <bgColor rgb="FFFFC7CE"/>
                </patternFill>
              </fill>
            </x14:dxf>
          </x14:cfRule>
          <xm:sqref>F49:F110 F3:F44</xm:sqref>
        </x14:conditionalFormatting>
        <x14:conditionalFormatting xmlns:xm="http://schemas.microsoft.com/office/excel/2006/main">
          <x14:cfRule type="cellIs" priority="438" operator="lessThan" id="{AB9DBF41-262B-49C5-B7EA-50263D6A26B5}">
            <xm:f>計分版!$E$13</xm:f>
            <x14:dxf>
              <font>
                <color rgb="FF006100"/>
              </font>
              <fill>
                <patternFill>
                  <bgColor rgb="FFC6EFCE"/>
                </patternFill>
              </fill>
            </x14:dxf>
          </x14:cfRule>
          <x14:cfRule type="cellIs" priority="439" operator="greaterThan" id="{0A0088C6-2AA8-4FC1-B2EF-4C031C2BDB12}">
            <xm:f>計分版!$E$13</xm:f>
            <x14:dxf>
              <font>
                <color rgb="FF9C0006"/>
              </font>
              <fill>
                <patternFill>
                  <bgColor rgb="FFFFC7CE"/>
                </patternFill>
              </fill>
            </x14:dxf>
          </x14:cfRule>
          <xm:sqref>G49:G110 G3:G44 G275:I286</xm:sqref>
        </x14:conditionalFormatting>
        <x14:conditionalFormatting xmlns:xm="http://schemas.microsoft.com/office/excel/2006/main">
          <x14:cfRule type="cellIs" priority="440" operator="lessThan" id="{B58110CF-3FC2-41C6-B284-CAC798DDFFC2}">
            <xm:f>計分版!$F$13</xm:f>
            <x14:dxf>
              <font>
                <color rgb="FF006100"/>
              </font>
              <fill>
                <patternFill>
                  <bgColor rgb="FFC6EFCE"/>
                </patternFill>
              </fill>
            </x14:dxf>
          </x14:cfRule>
          <x14:cfRule type="cellIs" priority="441" operator="greaterThan" id="{89FAE643-95E4-4DAE-953C-D1D2782662C8}">
            <xm:f>計分版!$F$13</xm:f>
            <x14:dxf>
              <font>
                <color rgb="FF9C0006"/>
              </font>
              <fill>
                <patternFill>
                  <bgColor rgb="FFFFC7CE"/>
                </patternFill>
              </fill>
            </x14:dxf>
          </x14:cfRule>
          <xm:sqref>H49:H110 H3:H44</xm:sqref>
        </x14:conditionalFormatting>
        <x14:conditionalFormatting xmlns:xm="http://schemas.microsoft.com/office/excel/2006/main">
          <x14:cfRule type="expression" priority="442" id="{F89FCD6B-AFE9-40AB-A670-6C697FA551F6}">
            <xm:f>計分版!$D$13=3.0000000002</xm:f>
            <x14:dxf>
              <font>
                <color theme="5" tint="-0.499984740745262"/>
              </font>
              <fill>
                <patternFill>
                  <bgColor theme="7" tint="0.59996337778862885"/>
                </patternFill>
              </fill>
            </x14:dxf>
          </x14:cfRule>
          <xm:sqref>F63</xm:sqref>
        </x14:conditionalFormatting>
        <x14:conditionalFormatting xmlns:xm="http://schemas.microsoft.com/office/excel/2006/main">
          <x14:cfRule type="expression" priority="443" id="{7F97279A-3E6D-47C6-97AB-8C23CD67B1AD}">
            <xm:f>計分版!$E$13=4.0000000003</xm:f>
            <x14:dxf>
              <font>
                <color theme="5" tint="-0.499984740745262"/>
              </font>
              <fill>
                <patternFill>
                  <bgColor theme="7" tint="0.59996337778862885"/>
                </patternFill>
              </fill>
            </x14:dxf>
          </x14:cfRule>
          <x14:cfRule type="expression" priority="444" id="{427EE61F-CCEE-4024-BB0A-DDC8EBE6C7D1}">
            <xm:f>計分版!$E$13=3.0000000003</xm:f>
            <x14:dxf>
              <font>
                <color theme="5" tint="-0.499984740745262"/>
              </font>
              <fill>
                <patternFill>
                  <bgColor theme="7" tint="0.59996337778862885"/>
                </patternFill>
              </fill>
            </x14:dxf>
          </x14:cfRule>
          <xm:sqref>G67</xm:sqref>
        </x14:conditionalFormatting>
        <x14:conditionalFormatting xmlns:xm="http://schemas.microsoft.com/office/excel/2006/main">
          <x14:cfRule type="expression" priority="445" id="{A18B55FD-2C9D-4198-A65C-0C9AE7B0CC5A}">
            <xm:f>計分版!$E$13=4.0000000003</xm:f>
            <x14:dxf>
              <font>
                <color theme="5" tint="-0.499984740745262"/>
              </font>
              <fill>
                <patternFill>
                  <bgColor theme="7" tint="0.59996337778862885"/>
                </patternFill>
              </fill>
            </x14:dxf>
          </x14:cfRule>
          <xm:sqref>G84</xm:sqref>
        </x14:conditionalFormatting>
        <x14:conditionalFormatting xmlns:xm="http://schemas.microsoft.com/office/excel/2006/main">
          <x14:cfRule type="expression" priority="458" id="{CFCFE25D-DA45-494B-93EA-587D860C9BC3}">
            <xm:f>AND(計分版!$E$13&lt;5,計分版!$G$13&lt;5)</xm:f>
            <x14:dxf>
              <font>
                <color rgb="FF990033"/>
              </font>
              <fill>
                <patternFill>
                  <bgColor rgb="FFFFCCCC"/>
                </patternFill>
              </fill>
            </x14:dxf>
          </x14:cfRule>
          <xm:sqref>J67</xm:sqref>
        </x14:conditionalFormatting>
        <x14:conditionalFormatting xmlns:xm="http://schemas.microsoft.com/office/excel/2006/main">
          <x14:cfRule type="expression" priority="459" id="{D1102600-39C1-43AA-833F-04ABDE458B8E}">
            <xm:f>計分版!$G$13&gt;3</xm:f>
            <x14:dxf>
              <font>
                <color rgb="FF006100"/>
              </font>
              <fill>
                <patternFill>
                  <bgColor rgb="FFC6EFCE"/>
                </patternFill>
              </fill>
            </x14:dxf>
          </x14:cfRule>
          <x14:cfRule type="expression" priority="460" id="{C48AEEF7-0180-41CC-AB10-38DF3129D1B5}">
            <xm:f>計分版!$G$13&lt;3</xm:f>
            <x14:dxf>
              <font>
                <color rgb="FF990033"/>
              </font>
              <fill>
                <patternFill>
                  <fgColor auto="1"/>
                  <bgColor rgb="FFFFCCCC"/>
                </patternFill>
              </fill>
            </x14:dxf>
          </x14:cfRule>
          <xm:sqref>J77 J96</xm:sqref>
        </x14:conditionalFormatting>
        <x14:conditionalFormatting xmlns:xm="http://schemas.microsoft.com/office/excel/2006/main">
          <x14:cfRule type="expression" priority="461" id="{7B0C54E6-84EB-43F9-8283-05A8427F73AE}">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(生物、化學)",計分版!$K$13&gt;3),計分版!$G$13&gt;3)</xm:f>
            <x14:dxf>
              <font>
                <color rgb="FF006100"/>
              </font>
              <fill>
                <patternFill>
                  <bgColor rgb="FFC6EFCE"/>
                </patternFill>
              </fill>
            </x14:dxf>
          </x14:cfRule>
          <x14:cfRule type="expression" priority="462" id="{76DDD6B3-5CCC-4EB1-9337-F3F5A97FABFC}">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(生物、化學)",計分版!$K$13&lt;3),計分版!$G$13&lt;3)</xm:f>
            <x14:dxf>
              <font>
                <color rgb="FF990033"/>
              </font>
              <fill>
                <patternFill>
                  <bgColor rgb="FFFFCCCC"/>
                </patternFill>
              </fill>
            </x14:dxf>
          </x14:cfRule>
          <xm:sqref>I79 I82</xm:sqref>
        </x14:conditionalFormatting>
        <x14:conditionalFormatting xmlns:xm="http://schemas.microsoft.com/office/excel/2006/main">
          <x14:cfRule type="cellIs" priority="463" operator="lessThan" id="{7EFD5FBA-6CFA-4FE0-B0C3-68876A514A3C}">
            <xm:f>LARGE(計分版!$H$13:$L$13,1)</xm:f>
            <x14:dxf>
              <font>
                <color rgb="FF006100"/>
              </font>
              <fill>
                <patternFill>
                  <bgColor rgb="FFC6EFCE"/>
                </patternFill>
              </fill>
            </x14:dxf>
          </x14:cfRule>
          <x14:cfRule type="cellIs" priority="464" operator="greaterThan" id="{AD0C7F8C-FDD8-4ECF-866B-4DB71E456FC2}">
            <xm:f>LARGE(計分版!$H$13:$L$13,1)</xm:f>
            <x14:dxf>
              <font>
                <color rgb="FF9C0006"/>
              </font>
              <fill>
                <patternFill>
                  <bgColor rgb="FFFFC7CE"/>
                </patternFill>
              </fill>
            </x14:dxf>
          </x14:cfRule>
          <xm:sqref>I77</xm:sqref>
        </x14:conditionalFormatting>
        <x14:conditionalFormatting xmlns:xm="http://schemas.microsoft.com/office/excel/2006/main">
          <x14:cfRule type="expression" priority="465" id="{81CEF838-8642-4A72-B22E-7D4DCE2BBEE1}">
            <xm:f>OR(AND(計分版!$H$1="物理",計分版!$H$13&gt;3),AND(計分版!$H$1="生物",計分版!$H$13&gt;3),AND(計分版!$H$1="化學",計分版!$H$13&gt;3),AND(計分版!$H$1="組合科學 (物理、化學)",計分版!$H$13&gt;3),AND(計分版!$H$1="組合科學 (物理、生物)",計分版!$H$13&gt;3),AND(計分版!$H$1="組合科學 (生物、化學)",計分版!$H$13&gt;3), AND(計分版!$H$1="資訊及通訊科技",計分版!$H$13&gt;3),AND(計分版!$I$1="物理",計分版!$I$13&gt;3),AND(計分版!$I$1="生物",計分版!$I$13&gt;3),AND(計分版!$I$1="化學",計分版!$I$13&gt;3),AND(計分版!$I$1="組合科學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(生物、化學)",計分版!$K$13&gt;3),AND(計分版!$K$1="資訊及通訊科技",計分版!$K$13&gt;3),計分版!$G$13&gt;3)</xm:f>
            <x14:dxf>
              <font>
                <color rgb="FF006100"/>
              </font>
              <fill>
                <patternFill>
                  <bgColor rgb="FFC6EFCE"/>
                </patternFill>
              </fill>
            </x14:dxf>
          </x14:cfRule>
          <x14:cfRule type="expression" priority="466" id="{BACCCD76-16CA-4E4D-AE23-1C3FB0BE6CB0}">
            <xm:f>OR(AND(計分版!$H$1="物理",計分版!$H$13&lt;3),AND(計分版!$H$1="生物",計分版!$H$13&lt;3),AND(計分版!$H$1="化學",計分版!$H$13&lt;3),AND(計分版!$H$1="組合科學 (物理、化學)",計分版!$H$13&lt;3),AND(計分版!$H$1="組合科學 (物理、生物)",計分版!$H$13&lt;3),AND(計分版!$H$1="組合科學 (生物、化學)",計分版!$H$13&lt;3), AND(計分版!$H$1="資訊及通訊科技",計分版!$H$13&lt;3),AND(計分版!$I$1="物理",計分版!$I$13&lt;3),AND(計分版!$I$1="生物",計分版!$I$13&lt;3),AND(計分版!$I$1="化學",計分版!$I$13&lt;3),AND(計分版!$I$1="組合科學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(生物、化學)",計分版!$K$13&lt;3),AND(計分版!$K$1="資訊及通訊科技",計分版!$K$13&lt;3),計分版!$G$13&lt;3)</xm:f>
            <x14:dxf>
              <font>
                <color rgb="FF990033"/>
              </font>
              <fill>
                <patternFill>
                  <bgColor rgb="FFFFCCCC"/>
                </patternFill>
              </fill>
            </x14:dxf>
          </x14:cfRule>
          <xm:sqref>I81</xm:sqref>
        </x14:conditionalFormatting>
        <x14:conditionalFormatting xmlns:xm="http://schemas.microsoft.com/office/excel/2006/main">
          <x14:cfRule type="expression" priority="469" id="{459CE2FF-94EE-4664-9A73-6D2C0758B5D4}">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設計與應用科技",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AND(計分版!$I$1="設計與應用科技",計分版!$I$13&gt;3),AND(計分版!$J$1="物理",計分版!$J$13&gt;3),AND(計分版!$J$1="生物",計分版!$J$13&gt;3),AND(計分版!$J$1="化學",計分版!$J$13&gt;3),AND(計分版!$J$1="組合科學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AND(計分版!$J$1="設計與應用科技",計分版!$J$13&gt;3),AND(計分版!$K$1="物理",計分版!$K$13&gt;3),AND(計分版!$K$1="生物",計分版!$K$13&gt;3),AND(計分版!$K$1="化學",計分版!$K$13&gt;3),AND(計分版!$K$1="組合科學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(生物、化學)",計分版!$K$13&gt;3),AND(計分版!$K$1="資訊及通訊科技",計分版!$K$13&gt;3),AND(計分版!$K$1="設計與應用科技",計分版!$K$13&gt;3),計分版!$G$13&gt;3)</xm:f>
            <x14:dxf>
              <font>
                <color rgb="FF006100"/>
              </font>
              <fill>
                <patternFill>
                  <bgColor rgb="FFC6EFCE"/>
                </patternFill>
              </fill>
            </x14:dxf>
          </x14:cfRule>
          <x14:cfRule type="expression" priority="470" id="{F0658EBD-7B57-433C-9F18-5D5D59D30648}">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H$1="資訊及通訊科技",計分版!$H$13&lt;3),AND(計分版!$H$1="設計與應用科技",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 AND(計分版!$I$1="設計與應用科技",計分版!$I$13&lt;3),AND(計分版!$J$1="物理",計分版!$J$13&lt;3),AND(計分版!$J$1="生物",計分版!$J$13&lt;3),AND(計分版!$J$1="化學",計分版!$J$13&lt;3),AND(計分版!$J$1="組合科學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 AND(計分版!$J$1="設計與應用科技",計分版!$J$13&lt;3),AND(計分版!$K$1="物理",計分版!$K$13&lt;3),AND(計分版!$K$1="生物",計分版!$K$13&lt;3),AND(計分版!$K$1="化學",計分版!$K$13&lt;3),AND(計分版!$K$1="組合科學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(生物、化學)",計分版!$K$13&lt;3),AND(計分版!$K$1="資訊及通訊科技",計分版!$K$13&lt;3),AND(計分版!$K$1="設計與應用科技",計分版!$K$13&lt;3),計分版!$G$13&lt;3)</xm:f>
            <x14:dxf>
              <font>
                <color rgb="FF9C0006"/>
              </font>
              <fill>
                <patternFill>
                  <bgColor rgb="FFFFC7CE"/>
                </patternFill>
              </fill>
            </x14:dxf>
          </x14:cfRule>
          <xm:sqref>I83</xm:sqref>
        </x14:conditionalFormatting>
        <x14:conditionalFormatting xmlns:xm="http://schemas.microsoft.com/office/excel/2006/main">
          <x14:cfRule type="expression" priority="471" id="{320DA692-7EB2-45B7-9FAF-22A6D397F10A}">
            <xm:f>OR(AND(計分版!$H$1="生物",計分版!$H$13&gt;3),AND(計分版!$H$1="化學",計分版!$H$13&gt;3),AND(計分版!$I$1="生物",計分版!$I$13&gt;3),AND(計分版!$I$1="化學",計分版!$I$13&gt;3),AND(計分版!$J$1="生物",計分版!$J$13&gt;3),AND(計分版!$J$1="化學",計分版!$J$13&gt;3),AND(計分版!$K$1="生物",計分版!$K$13&gt;3),AND(計分版!$K$1="化學",計分版!$K$13&gt;3))</xm:f>
            <x14:dxf>
              <font>
                <color rgb="FF006100"/>
              </font>
              <fill>
                <patternFill>
                  <bgColor rgb="FFC6EFCE"/>
                </patternFill>
              </fill>
            </x14:dxf>
          </x14:cfRule>
          <x14:cfRule type="expression" priority="472" id="{FFE781B1-88ED-4C30-9A56-24F392999AB4}">
            <xm:f>OR(AND(計分版!$H$1="生物",計分版!$H$13&lt;3),AND(計分版!$H$1="化學",計分版!$H$13&lt;3),AND(計分版!$I$1="生物",計分版!$I$13&lt;3),AND(計分版!$I$1="化學",計分版!$I$13&lt;3),AND(計分版!$J$1="生物",計分版!$J$13&lt;3),AND(計分版!$J$1="化學",計分版!$J$13&lt;3),AND(計分版!$K$1="生物",計分版!$K$13&lt;3),AND(計分版!$K$1="化學",計分版!$K$13&lt;3))</xm:f>
            <x14:dxf>
              <font>
                <color rgb="FF9C0006"/>
              </font>
              <fill>
                <patternFill>
                  <bgColor rgb="FFFFC7CE"/>
                </patternFill>
              </fill>
            </x14:dxf>
          </x14:cfRule>
          <xm:sqref>I85:I86</xm:sqref>
        </x14:conditionalFormatting>
        <x14:conditionalFormatting xmlns:xm="http://schemas.microsoft.com/office/excel/2006/main">
          <x14:cfRule type="cellIs" priority="473" operator="lessThan" id="{FD3FD0DC-5C5E-4142-BB25-CA5C90119FED}">
            <xm:f>LARGE(計分版!$H$13:$L$13,2)</xm:f>
            <x14:dxf>
              <font>
                <color rgb="FF006100"/>
              </font>
              <fill>
                <patternFill>
                  <bgColor rgb="FFC6EFCE"/>
                </patternFill>
              </fill>
            </x14:dxf>
          </x14:cfRule>
          <x14:cfRule type="cellIs" priority="474" operator="greaterThan" id="{40589836-9E7D-4DB8-9F46-A596338992FA}">
            <xm:f>LARGE(計分版!$H$13:$L$13,2)</xm:f>
            <x14:dxf>
              <font>
                <color rgb="FF9C0006"/>
              </font>
              <fill>
                <patternFill>
                  <bgColor rgb="FFFFC7CE"/>
                </patternFill>
              </fill>
            </x14:dxf>
          </x14:cfRule>
          <xm:sqref>J85:J86</xm:sqref>
        </x14:conditionalFormatting>
        <x14:conditionalFormatting xmlns:xm="http://schemas.microsoft.com/office/excel/2006/main">
          <x14:cfRule type="cellIs" priority="475" operator="lessThan" id="{116F2D8D-09D6-4E00-878D-239223983539}">
            <xm:f>LARGE(計分版!$H$13:$K$13,2)</xm:f>
            <x14:dxf>
              <font>
                <color rgb="FF006100"/>
              </font>
              <fill>
                <patternFill>
                  <bgColor rgb="FFC6EFCE"/>
                </patternFill>
              </fill>
            </x14:dxf>
          </x14:cfRule>
          <x14:cfRule type="cellIs" priority="476" operator="greaterThan" id="{F35C764A-2ED3-4168-AAE5-A54D3BA61C3A}">
            <xm:f>LARGE(計分版!$H$13:$K$13,2)</xm:f>
            <x14:dxf>
              <font>
                <color rgb="FF9C0006"/>
              </font>
              <fill>
                <patternFill>
                  <bgColor rgb="FFFFC7CE"/>
                </patternFill>
              </fill>
            </x14:dxf>
          </x14:cfRule>
          <xm:sqref>J91</xm:sqref>
        </x14:conditionalFormatting>
        <x14:conditionalFormatting xmlns:xm="http://schemas.microsoft.com/office/excel/2006/main">
          <x14:cfRule type="expression" priority="477" id="{54F76D64-74C2-45FA-95F0-071E055F02B6}">
            <xm:f>AND(OR(計分版!$H$1&lt;&gt;"化學",計分版!$I$1&lt;&gt;"化學",計分版!$J$1&lt;&gt;"化學",計分版!$K$1&lt;&gt;"化學"),OR(計分版!$H$1&lt;&gt;"生物",計分版!$I$1&lt;&gt;"生物",計分版!$J$1&lt;&gt;"生物",計分版!$K$1&lt;&gt;"生物"))</xm:f>
            <x14:dxf>
              <font>
                <color rgb="FF9C0006"/>
              </font>
              <fill>
                <patternFill>
                  <bgColor rgb="FFFFC7CE"/>
                </patternFill>
              </fill>
            </x14:dxf>
          </x14:cfRule>
          <x14:cfRule type="expression" priority="478" id="{03FF5318-D2FA-435B-A8E8-98F42780722A}">
            <xm:f>OR(AND(計分版!$H$1="生物",計分版!$H$13&gt;3),AND(計分版!$H$1="化學",計分版!$H$13&gt;3),AND(計分版!$I$1="生物",計分版!$I$13&gt;3),AND(計分版!$I$1="化學",計分版!$I$13&gt;3),AND(計分版!$J$1="生物",計分版!$J$13&gt;3),AND(計分版!$J$1="化學",計分版!$J$13&gt;3),AND(計分版!$K$1="生物",計分版!$K$13&gt;3),AND(計分版!$K$1="化學",計分版!$K$13&gt;3))</xm:f>
            <x14:dxf>
              <font>
                <color rgb="FF006100"/>
              </font>
              <fill>
                <patternFill>
                  <bgColor rgb="FFC6EFCE"/>
                </patternFill>
              </fill>
            </x14:dxf>
          </x14:cfRule>
          <x14:cfRule type="expression" priority="479" id="{A044FF0C-6CDB-40BB-861F-FA83C33F28BC}">
            <xm:f>OR(AND(計分版!$H$1="生物",計分版!$H$13&lt;3),AND(計分版!$H$1="化學",計分版!$H$13&lt;3),AND(計分版!$I$1="生物",計分版!$I$13&lt;3),AND(計分版!$I$1="化學",計分版!$I$13&lt;3),AND(計分版!$J$1="生物",計分版!$J$13&lt;3),AND(計分版!$J$1="化學",計分版!$J$13&lt;3),AND(計分版!$K$1="生物",計分版!$K$13&lt;3),AND(計分版!$K$1="化學",計分版!$K$13&lt;3))</xm:f>
            <x14:dxf>
              <font>
                <color rgb="FF9C0006"/>
              </font>
              <fill>
                <patternFill>
                  <bgColor rgb="FFFFC7CE"/>
                </patternFill>
              </fill>
            </x14:dxf>
          </x14:cfRule>
          <xm:sqref>I91</xm:sqref>
        </x14:conditionalFormatting>
        <x14:conditionalFormatting xmlns:xm="http://schemas.microsoft.com/office/excel/2006/main">
          <x14:cfRule type="cellIs" priority="480" operator="lessThan" id="{46E2E84F-89B6-44D4-9E89-F485AD44FEC3}">
            <xm:f>LARGE(計分版!$G$13:$K$13,2)</xm:f>
            <x14:dxf>
              <font>
                <color rgb="FF006100"/>
              </font>
              <fill>
                <patternFill>
                  <bgColor rgb="FFC6EFCE"/>
                </patternFill>
              </fill>
            </x14:dxf>
          </x14:cfRule>
          <x14:cfRule type="cellIs" priority="481" operator="greaterThan" id="{C28BCFF4-1CFF-4DCE-AA4C-6FEFFA27D766}">
            <xm:f>LARGE(計分版!$G$13:$K$13,2)</xm:f>
            <x14:dxf>
              <font>
                <color rgb="FF9C0006"/>
              </font>
              <fill>
                <patternFill>
                  <bgColor rgb="FFFFC7CE"/>
                </patternFill>
              </fill>
            </x14:dxf>
          </x14:cfRule>
          <xm:sqref>J92</xm:sqref>
        </x14:conditionalFormatting>
        <x14:conditionalFormatting xmlns:xm="http://schemas.microsoft.com/office/excel/2006/main">
          <x14:cfRule type="expression" priority="482" id="{2BA5D7BB-656E-426E-9D40-BF48279133AB}">
            <xm:f>OR(AND(計分版!$H$1="物理",計分版!$H$13&gt;3),AND(計分版!$H$1="生物",計分版!$H$13&gt;3),AND(計分版!$H$1="化學",計分版!$H$13&gt;3),AND(計分版!$H$1="組合科學 (物理、化學)",計分版!$H$13&gt;3),AND(計分版!$H$1="組合科學 (物理、生物)",計分版!$H$13&gt;3),AND(計分版!$H$1="組合科學 (生物、化學)",計分版!$H$13&gt;3), AND(計分版!$H$1="綜合科學",計分版!$H$13&gt;3),AND(計分版!$I$1="物理",計分版!$I$13&gt;3),AND(計分版!$I$1="生物",計分版!$I$13&gt;3),AND(計分版!$I$1="化學",計分版!$I$13&gt;3),AND(計分版!$I$1="組合科學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(生物、化學)",計分版!$K$13&gt;3),AND(計分版!$K$1="資訊及通訊科技",計分版!$K$13&gt;3),計分版!$G$13&gt;3)</xm:f>
            <x14:dxf>
              <font>
                <color rgb="FF006100"/>
              </font>
              <fill>
                <patternFill>
                  <bgColor rgb="FFC6EFCE"/>
                </patternFill>
              </fill>
            </x14:dxf>
          </x14:cfRule>
          <x14:cfRule type="expression" priority="483" id="{1C2C9B56-9D21-4276-A19F-FB7D0D850642}">
            <xm:f>OR(AND(計分版!$H$1="物理",計分版!$H$13&lt;3),AND(計分版!$H$1="生物",計分版!$H$13&lt;3),AND(計分版!$H$1="化學",計分版!$H$13&lt;3),AND(計分版!$H$1="組合科學 (物理、化學)",計分版!$H$13&lt;3),AND(計分版!$H$1="組合科學 (物理、生物)",計分版!$H$13&lt;3),AND(計分版!$H$1="組合科學 (生物、化學)",計分版!$H$13&lt;3), AND(計分版!$H$1="資訊及通訊科技",計分版!$H$13&lt;3),AND(計分版!$I$1="物理",計分版!$I$13&lt;3),AND(計分版!$I$1="生物",計分版!$I$13&lt;3),AND(計分版!$I$1="化學",計分版!$I$13&lt;3),AND(計分版!$I$1="組合科學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(生物、化學)",計分版!$K$13&lt;3),AND(計分版!$K$1="綜合科學",計分版!$K$13&lt;3),計分版!$G$13&lt;3)</xm:f>
            <x14:dxf>
              <font>
                <color rgb="FF990033"/>
              </font>
              <fill>
                <patternFill>
                  <bgColor rgb="FFFFCCCC"/>
                </patternFill>
              </fill>
            </x14:dxf>
          </x14:cfRule>
          <xm:sqref>I92</xm:sqref>
        </x14:conditionalFormatting>
        <x14:conditionalFormatting xmlns:xm="http://schemas.microsoft.com/office/excel/2006/main">
          <x14:cfRule type="cellIs" priority="489" operator="greaterThan" id="{7FF0B67D-91C2-4BF9-9718-D333CE9CB1EF}">
            <xm:f>LARGE(計分版!$G$13:$L$13,2)</xm:f>
            <x14:dxf>
              <font>
                <color rgb="FF9C0006"/>
              </font>
              <fill>
                <patternFill>
                  <bgColor rgb="FFFFC7CE"/>
                </patternFill>
              </fill>
            </x14:dxf>
          </x14:cfRule>
          <xm:sqref>J49:J76 J78:J84 J87:J90 J97:J110 J3:J44 J139:J183</xm:sqref>
        </x14:conditionalFormatting>
        <x14:conditionalFormatting xmlns:xm="http://schemas.microsoft.com/office/excel/2006/main">
          <x14:cfRule type="expression" priority="496" id="{F25EEE53-9E7E-4D42-B884-E8FF562F8251}">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(生物、化學)",計分版!$H$13&gt;3),AND(計分版!$H$1="資訊及通訊科技",計分版!$H$13&gt;3),AND(計分版!$H$1="綜合科學",計分版!$H$13&gt;3),  AND(計分版!$H$1="經濟",計分版!$H$13&gt;3), AND(計分版!$H$1="地理",計分版!$H$13&gt;3), AND(計分版!$H$1="科技與生活",計分版!$H$13&gt;3),  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AND(計分版!$I$1="綜合科學",計分版!$I$13&gt;3), AND(計分版!$I$1="經濟",計分版!$I$13&gt;3), AND(計分版!$I$1="地理",計分版!$I$13&gt;3), AND(計分版!$I$1="科技與生活",計分版!$I$13&gt;3),  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AND(計分版!$J$1="綜合科學",計分版!$J$13&gt;3), AND(計分版!$J$1="經濟",計分版!$J$13&gt;3), AND(計分版!$J$1="地理",計分版!$J$13&gt;3), AND(計分版!$J$1="科技與生活",計分版!$J$13&gt;3),  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(生物、化學)",計分版!$K$13&gt;3),AND(計分版!$K$1="資訊及通訊科技",計分版!$K$13&gt;3),AND(計分版!$K$1="綜合科學",計分版!$K$13&gt;3), AND(計分版!$K$1="經濟",計分版!$K$13&gt;3), AND(計分版!$K$1="地理",計分版!$K$13&gt;3), AND(計分版!$K$1="科技與生活",計分版!$K$13&gt;3))</xm:f>
            <x14:dxf>
              <font>
                <color rgb="FF006100"/>
              </font>
              <fill>
                <patternFill>
                  <bgColor rgb="FFC6EFCE"/>
                </patternFill>
              </fill>
            </x14:dxf>
          </x14:cfRule>
          <x14:cfRule type="expression" priority="497" id="{C0DECF63-A315-4735-A6D3-AC119BA024C1}">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(生物、化學)",計分版!$H$13&lt;3),AND(計分版!$H$1="資訊及通訊科技",計分版!$H$13&lt;3),AND(計分版!$H$1="綜合科學",計分版!$H$13&lt;3),  AND(計分版!$H$1="經濟",計分版!$H$13&lt;3), AND(計分版!$H$1="地理",計分版!$H$13&lt;3), AND(計分版!$H$1="科技與生活",計分版!$H$13&lt;3),  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 AND(計分版!$I$1="綜合科學",計分版!$I$13&lt;3), AND(計分版!$I$1="經濟",計分版!$I$13&lt;3), AND(計分版!$I$1="地理",計分版!$I$13&lt;3), AND(計分版!$I$1="科技與生活",計分版!$I$13&lt;3),  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 AND(計分版!$J$1="綜合科學",計分版!$J$13&lt;3), AND(計分版!$J$1="經濟",計分版!$J$13&lt;3), AND(計分版!$J$1="地理",計分版!$J$13&lt;3), AND(計分版!$J$1="科技與生活",計分版!$J$13&lt;3),  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(生物、化學)",計分版!$K$13&lt;3),AND(計分版!$K$1="資訊及通訊科技",計分版!$K$13&lt;3),AND(計分版!$K$1="綜合科學",計分版!$K$13&lt;3), AND(計分版!$K$1="經濟",計分版!$K$13&lt;3), AND(計分版!$K$1="地理",計分版!$K$13&lt;3), AND(計分版!$K$1="科技與生活",計分版!$K$13&lt;3))</xm:f>
            <x14:dxf>
              <font>
                <color rgb="FF9C0006"/>
              </font>
              <fill>
                <patternFill>
                  <bgColor rgb="FFFFC7CE"/>
                </patternFill>
              </fill>
            </x14:dxf>
          </x14:cfRule>
          <xm:sqref>I94</xm:sqref>
        </x14:conditionalFormatting>
        <x14:conditionalFormatting xmlns:xm="http://schemas.microsoft.com/office/excel/2006/main">
          <x14:cfRule type="cellIs" priority="498" operator="lessThan" id="{5B59413C-19A9-4271-94E8-8A16E54D7B96}">
            <xm:f>計分版!$G$13</xm:f>
            <x14:dxf>
              <font>
                <color rgb="FF006100"/>
              </font>
              <fill>
                <patternFill>
                  <bgColor rgb="FFC6EFCE"/>
                </patternFill>
              </fill>
            </x14:dxf>
          </x14:cfRule>
          <x14:cfRule type="cellIs" priority="499" operator="greaterThan" id="{A17FDC0C-7798-4856-8C41-C4B034DF42A7}">
            <xm:f>計分版!$G$13</xm:f>
            <x14:dxf>
              <font>
                <color rgb="FF9C0006"/>
              </font>
              <fill>
                <patternFill>
                  <bgColor rgb="FFFFC7CE"/>
                </patternFill>
              </fill>
            </x14:dxf>
          </x14:cfRule>
          <xm:sqref>J94</xm:sqref>
        </x14:conditionalFormatting>
        <x14:conditionalFormatting xmlns:xm="http://schemas.microsoft.com/office/excel/2006/main">
          <x14:cfRule type="expression" priority="500" id="{54C35359-2A14-4B47-9ED9-F071AD748F9E}">
            <xm:f>OR(AND(計分版!$H$1="物理",計分版!$H$13&gt;4),AND(計分版!$I$1="物理",計分版!$I$13&gt;4),AND(計分版!$J$1="物理",計分版!$J$13&gt;4), AND(計分版!$K$1="物理",計分版!$K$13&gt;4))</xm:f>
            <x14:dxf>
              <font>
                <color rgb="FF006100"/>
              </font>
              <fill>
                <patternFill>
                  <bgColor rgb="FFC6EFCE"/>
                </patternFill>
              </fill>
            </x14:dxf>
          </x14:cfRule>
          <x14:cfRule type="expression" priority="501" id="{89313B37-D14B-4710-BCD7-8BEC7026D695}">
            <xm:f>OR(AND(計分版!$H$1="物理",計分版!$H$13&lt;4),AND(計分版!$I$1="物理",計分版!$I$13&lt;4),AND(計分版!$J$1="物理",計分版!$J$13&lt;4), AND(計分版!$K$1="物理",計分版!$K$13&lt;4), 計分版!$H$1&lt;&gt;"物理",計分版!$I$1&lt;&gt;"物理",計分版!$J$1&lt;&gt;"物理",計分版!$K$1&lt;&gt;"物理")</xm:f>
            <x14:dxf>
              <font>
                <color rgb="FF9C0006"/>
              </font>
              <fill>
                <patternFill>
                  <bgColor rgb="FFFFC7CE"/>
                </patternFill>
              </fill>
            </x14:dxf>
          </x14:cfRule>
          <xm:sqref>I95</xm:sqref>
        </x14:conditionalFormatting>
        <x14:conditionalFormatting xmlns:xm="http://schemas.microsoft.com/office/excel/2006/main">
          <x14:cfRule type="expression" priority="502" id="{9C21E504-C68D-468A-B04F-0081CE4BCADF}">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(生物、化學)",計分版!$H$13&gt;3),AND(計分版!$H$1="資訊及通訊科技",計分版!$H$13&gt;3),AND(計分版!$H$1="綜合科學",計分版!$H$13&gt;3),  AND(計分版!$H$1="經濟",計分版!$H$13&gt;3), AND(計分版!$H$1="地理",計分版!$H$13&gt;3), AND(計分版!$H$1="科技與生活",計分版!$H$13&gt;3),  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AND(計分版!$I$1="綜合科學",計分版!$I$13&gt;3), AND(計分版!$I$1="經濟",計分版!$I$13&gt;3), AND(計分版!$I$1="地理",計分版!$I$13&gt;3), AND(計分版!$I$1="科技與生活",計分版!$I$13&gt;3),  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AND(計分版!$J$1="綜合科學",計分版!$J$13&gt;3), AND(計分版!$J$1="經濟",計分版!$J$13&gt;3), AND(計分版!$J$1="地理",計分版!$J$13&gt;3), AND(計分版!$J$1="科技與生活",計分版!$J$13&gt;3),  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(生物、化學)",計分版!$K$13&gt;3),AND(計分版!$K$1="資訊及通訊科技",計分版!$K$13&gt;3),AND(計分版!$K$1="綜合科學",計分版!$K$13&gt;3), AND(計分版!$K$1="經濟",計分版!$K$13&gt;3), AND(計分版!$K$1="地理",計分版!$K$13&gt;3), AND(計分版!$K$1="科技與生活",計分版!$K$13&gt;3), 計分版!$G$13&gt;3)</xm:f>
            <x14:dxf>
              <font>
                <color rgb="FF006100"/>
              </font>
              <fill>
                <patternFill>
                  <bgColor rgb="FFC6EFCE"/>
                </patternFill>
              </fill>
            </x14:dxf>
          </x14:cfRule>
          <x14:cfRule type="expression" priority="503" id="{43A9CD4B-BB71-499A-8727-88E0EDB33ACC}">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(生物、化學)",計分版!$H$13&lt;3),AND(計分版!$H$1="資訊及通訊科技",計分版!$H$13&lt;3),AND(計分版!$H$1="綜合科學",計分版!$H$13&lt;3),  AND(計分版!$H$1="經濟",計分版!$H$13&lt;3), AND(計分版!$H$1="地理",計分版!$H$13&lt;3), AND(計分版!$H$1="科技與生活",計分版!$H$13&lt;3),  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 AND(計分版!$I$1="綜合科學",計分版!$I$13&lt;3), AND(計分版!$I$1="經濟",計分版!$I$13&lt;3), AND(計分版!$I$1="地理",計分版!$I$13&lt;3), AND(計分版!$I$1="科技與生活",計分版!$I$13&lt;3),  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 AND(計分版!$J$1="綜合科學",計分版!$J$13&lt;3), AND(計分版!$J$1="經濟",計分版!$J$13&lt;3), AND(計分版!$J$1="地理",計分版!$J$13&lt;3), AND(計分版!$J$1="科技與生活",計分版!$J$13&lt;3),  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(生物、化學)",計分版!$K$13&lt;3),AND(計分版!$K$1="資訊及通訊科技",計分版!$K$13&lt;3),AND(計分版!$K$1="綜合科學",計分版!$K$13&lt;3), AND(計分版!$K$1="經濟",計分版!$K$13&lt;3), AND(計分版!$K$1="地理",計分版!$K$13&lt;3), AND(計分版!$K$1="科技與生活",計分版!$K$13&lt;3), 計分版!$G$13&lt;3)</xm:f>
            <x14:dxf>
              <font>
                <color rgb="FF9C0006"/>
              </font>
              <fill>
                <patternFill>
                  <bgColor rgb="FFFFC7CE"/>
                </patternFill>
              </fill>
            </x14:dxf>
          </x14:cfRule>
          <xm:sqref>J95</xm:sqref>
        </x14:conditionalFormatting>
        <x14:conditionalFormatting xmlns:xm="http://schemas.microsoft.com/office/excel/2006/main">
          <x14:cfRule type="cellIs" priority="506" operator="lessThan" id="{1668091D-9950-456B-B2AC-66EEB8D22B77}">
            <xm:f>LARGE(計分版!$H$13:$K$13,1)</xm:f>
            <x14:dxf>
              <font>
                <color rgb="FF006100"/>
              </font>
              <fill>
                <patternFill>
                  <bgColor rgb="FFC6EFCE"/>
                </patternFill>
              </fill>
            </x14:dxf>
          </x14:cfRule>
          <x14:cfRule type="cellIs" priority="507" operator="greaterThan" id="{256277CB-084A-4DA5-945F-39EE42088B38}">
            <xm:f>LARGE(計分版!$H$13:$K$13,1)</xm:f>
            <x14:dxf>
              <font>
                <color rgb="FF9C0006"/>
              </font>
              <fill>
                <patternFill>
                  <bgColor rgb="FFFFC7CE"/>
                </patternFill>
              </fill>
            </x14:dxf>
          </x14:cfRule>
          <xm:sqref>I96</xm:sqref>
        </x14:conditionalFormatting>
        <x14:conditionalFormatting xmlns:xm="http://schemas.microsoft.com/office/excel/2006/main">
          <x14:cfRule type="expression" priority="522" id="{A0EADF27-DADF-49FC-8D08-26EC8F6D4543}">
            <xm:f>計分版!$G$13&lt;3</xm:f>
            <x14:dxf>
              <font>
                <color rgb="FF9C5700"/>
              </font>
              <fill>
                <patternFill>
                  <bgColor rgb="FFFFEB9C"/>
                </patternFill>
              </fill>
            </x14:dxf>
          </x14:cfRule>
          <xm:sqref>J12 J23:J26 J40</xm:sqref>
        </x14:conditionalFormatting>
        <x14:conditionalFormatting xmlns:xm="http://schemas.microsoft.com/office/excel/2006/main">
          <x14:cfRule type="expression" priority="523" stopIfTrue="1" id="{B9D13516-1A3E-48AF-A27C-DFE9BE1F3384}">
            <xm:f>計分版!$G$13&lt;3</xm:f>
            <x14:dxf>
              <font>
                <color rgb="FF9C0006"/>
              </font>
              <fill>
                <patternFill>
                  <bgColor rgb="FFFFC7CE"/>
                </patternFill>
              </fill>
            </x14:dxf>
          </x14:cfRule>
          <xm:sqref>J14 J34 J41 J43</xm:sqref>
        </x14:conditionalFormatting>
        <x14:conditionalFormatting xmlns:xm="http://schemas.microsoft.com/office/excel/2006/main">
          <x14:cfRule type="expression" priority="532" stopIfTrue="1" id="{3BC8853C-FE4D-4216-83F7-DDDCB1611740}">
            <xm:f>計分版!$D$13=4.0000000002</xm:f>
            <x14:dxf>
              <font>
                <color rgb="FF9C5700"/>
              </font>
              <fill>
                <patternFill>
                  <bgColor rgb="FFFFEB9C"/>
                </patternFill>
              </fill>
            </x14:dxf>
          </x14:cfRule>
          <xm:sqref>F40:F44</xm:sqref>
        </x14:conditionalFormatting>
        <x14:conditionalFormatting xmlns:xm="http://schemas.microsoft.com/office/excel/2006/main">
          <x14:cfRule type="cellIs" priority="699" operator="greaterThan" id="{ACDD4D4D-D2D0-4F45-BE35-EBC787B539D2}">
            <xm:f>計分版!$V$112</xm:f>
            <x14:dxf>
              <font>
                <color rgb="FF9C0006"/>
              </font>
              <fill>
                <patternFill>
                  <bgColor rgb="FFFFC7CE"/>
                </patternFill>
              </fill>
            </x14:dxf>
          </x14:cfRule>
          <x14:cfRule type="cellIs" priority="700" operator="lessThan" id="{DBD12E3A-A2E2-4B87-BDCC-C0C8DF6872DB}">
            <xm:f>計分版!$V$112</xm:f>
            <x14:dxf>
              <font>
                <color rgb="FF006100"/>
              </font>
              <fill>
                <patternFill>
                  <bgColor rgb="FFC6EFCE"/>
                </patternFill>
              </fill>
            </x14:dxf>
          </x14:cfRule>
          <x14:cfRule type="expression" priority="701" id="{BF4A33EB-E291-44B6-92C6-B066BCED7E4B}">
            <xm:f>OR(AND(計分版!$H$1="物理",計分版!$H$13&gt;4),AND(計分版!$H$1="地理",計分版!$H$13&gt;4),AND(計分版!$H$1="化學",計分版!$H$13&gt;4),AND(計分版!$H$1="組合科學 (物理、化學)",計分版!$H$13&gt;4),AND(計分版!$H$1="組合科學 (物理、生物)",計分版!$H$13&gt;4),AND(計分版!$H$1="組合科學 (生物、化學)",計分版!$H$13&gt;4),AND(計分版!$I$1="物理",計分版!$I$13&gt;4),AND(計分版!$I$1="地理",計分版!$I$13&gt;4),AND(計分版!$I$1="化學",計分版!$I$13&gt;4),AND(計分版!$I$1="組合科學 (物理、化學)",計分版!$I$13&gt;4),AND(計分版!$I$1="組合科學 (物理、生物)",計分版!$I$13&gt;4),AND(計分版!$I$1="組合科學 (生物、化學)",計分版!$I$13&gt;4),AND(計分版!$J$1="物理",計分版!$J$13&gt;4),AND(計分版!$J$1="地理",計分版!$J$13&gt;4),AND(計分版!$J$1="化學",計分版!$J$13&gt;4),AND(計分版!$J$1="組合科學 (物理、化學)",計分版!$J$13&gt;4),AND(計分版!$J$1="組合科學 (物理、生物)",計分版!$J$13&gt;4),AND(計分版!$J$1="組合科學 (生物、化學)",計分版!$J$13&gt;4),AND(計分版!$K$1="物理",計分版!$K$13&gt;4),AND(計分版!$K$1="地理",計分版!$K$13&gt;4),AND(計分版!$K$1="化學",計分版!$K$13&gt;4),AND(計分版!$K$1="組合科學 (物理、化學)",計分版!$K$13&gt;4),AND(計分版!$K$1="組合科學 (物理、生物)",計分版!$K$13&gt;4),AND(計分版!$K$1="組合科學 (生物、化學)",計分版!$K$13&gt;4),計分版!$G$13&gt;4)</xm:f>
            <x14:dxf>
              <font>
                <color rgb="FF006100"/>
              </font>
              <fill>
                <patternFill>
                  <bgColor rgb="FFC6EFCE"/>
                </patternFill>
              </fill>
            </x14:dxf>
          </x14:cfRule>
          <x14:cfRule type="expression" priority="702" id="{FD5B473E-FCF3-44C7-9220-947CC1D42A44}">
            <xm:f>OR(AND(計分版!$H$1="物理",計分版!$H$13&lt;4),AND(計分版!$H$1="地理",計分版!$H$13&lt;4),AND(計分版!$H$1="化學",計分版!$H$13&lt;4),AND(計分版!$H$1="組合科學 (物理、化學)",計分版!$H$13&lt;4),AND(計分版!$H$1="組合科學 (物理、生物)",計分版!$H$13&lt;4),AND(計分版!$H$1="組合科學 (生物、化學)",計分版!$H$13&lt;4),AND(計分版!$I$1="物理",計分版!$I$13&lt;4),AND(計分版!$I$1="地理",計分版!$I$13&lt;4),AND(計分版!$I$1="化學",計分版!$I$13&lt;4),AND(計分版!$I$1="組合科學 (物理、化學)",計分版!$I$13&lt;4),AND(計分版!$I$1="組合科學 (物理、生物)",計分版!$I$13&lt;4),AND(計分版!$I$1="組合科學 (生物、化學)",計分版!$I$13&lt;4),AND(計分版!$J$1="物理",計分版!$J$13&lt;4),AND(計分版!$J$1="地理",計分版!$J$13&lt;4),AND(計分版!$J$1="化學",計分版!$J$13&lt;4),AND(計分版!$J$1="組合科學 (物理、化學)",計分版!$J$13&lt;4),AND(計分版!$J$1="組合科學 (物理、生物)",計分版!$J$13&lt;4),AND(計分版!$J$1="組合科學 (生物、化學)",計分版!$J$13&lt;4),AND(計分版!$K$1="物理",計分版!$K$13&lt;4),AND(計分版!$K$1="地理",計分版!$K$13&lt;4),AND(計分版!$K$1="化學",計分版!$K$13&lt;4),AND(計分版!$K$1="組合科學 (物理、化學)",計分版!$K$13&lt;4),AND(計分版!$K$1="組合科學 (物理、生物)",計分版!$K$13&lt;4),AND(計分版!$K$1="組合科學 (生物、化學)",計分版!$K$13&lt;4),計分版!$G$13&lt;4)</xm:f>
            <x14:dxf>
              <font>
                <color rgb="FF990033"/>
              </font>
              <fill>
                <patternFill>
                  <bgColor rgb="FFFFCCCC"/>
                </patternFill>
              </fill>
            </x14:dxf>
          </x14:cfRule>
          <xm:sqref>I93</xm:sqref>
        </x14:conditionalFormatting>
        <x14:conditionalFormatting xmlns:xm="http://schemas.microsoft.com/office/excel/2006/main">
          <x14:cfRule type="expression" priority="703" stopIfTrue="1" id="{B2F543E9-2F21-4A01-8EC2-5C5DB4560FF3}">
            <xm:f>計分版!$P$25=0</xm:f>
            <x14:dxf>
              <font>
                <color rgb="FF9C0006"/>
              </font>
              <fill>
                <patternFill>
                  <bgColor rgb="FFFFC7CE"/>
                </patternFill>
              </fill>
            </x14:dxf>
          </x14:cfRule>
          <x14:cfRule type="expression" priority="704" id="{781E3D98-8406-4435-8596-DF6CBC4C91AC}">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綜合科學",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AND(計分版!$I$1="綜合科學",計分版!$I$13&gt;3),AND(計分版!$J$1="物理",計分版!$J$13&gt;3),AND(計分版!$J$1="生物",計分版!$J$13&gt;3),AND(計分版!$J$1="化學",計分版!$J$13&gt;3),AND(計分版!$J$1="組合科學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AND(計分版!$J$1="綜合科學",計分版!$J$13&gt;3),AND(計分版!$K$1="物理",計分版!$K$13&gt;3),AND(計分版!$K$1="生物",計分版!$K$13&gt;3),AND(計分版!$K$1="化學",計分版!$K$13&gt;3),AND(計分版!$K$1="組合科學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(生物、化學)",計分版!$K$13&gt;3),AND(計分版!$K$1="資訊及通訊科技",計分版!$K$13&gt;3),AND(計分版!$K$1="綜合科學",計分版!$K$13&gt;3))</xm:f>
            <x14:dxf>
              <font>
                <color rgb="FF006100"/>
              </font>
              <fill>
                <patternFill>
                  <bgColor rgb="FFC6EFCE"/>
                </patternFill>
              </fill>
            </x14:dxf>
          </x14:cfRule>
          <x14:cfRule type="expression" priority="705" stopIfTrue="1" id="{6C7B1EE0-4050-4D83-8519-024005B4C840}">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H$1="資訊及通訊科技",計分版!$H$13&lt;3),AND(計分版!$H$1="綜合科學",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 AND(計分版!$I$1="綜合科學",計分版!$I$13&lt;3),AND(計分版!$J$1="物理",計分版!$J$13&lt;3),AND(計分版!$J$1="生物",計分版!$J$13&lt;3),AND(計分版!$J$1="化學",計分版!$J$13&lt;3),AND(計分版!$J$1="組合科學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 AND(計分版!$J$1="綜合科學",計分版!$J$13&lt;3),AND(計分版!$K$1="物理",計分版!$K$13&lt;3),AND(計分版!$K$1="生物",計分版!$K$13&lt;3),AND(計分版!$K$1="化學",計分版!$K$13&lt;3),AND(計分版!$K$1="組合科學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(生物、化學)",計分版!$K$13&lt;3),AND(計分版!$K$1="資訊及通訊科技",計分版!$K$13&lt;3),AND(計分版!$K$1="綜合科學",計分版!$K$13&lt;3))</xm:f>
            <x14:dxf>
              <font>
                <color rgb="FF9C0006"/>
              </font>
              <fill>
                <patternFill>
                  <bgColor rgb="FFFFC7CE"/>
                </patternFill>
              </fill>
            </x14:dxf>
          </x14:cfRule>
          <xm:sqref>I12</xm:sqref>
        </x14:conditionalFormatting>
        <x14:conditionalFormatting xmlns:xm="http://schemas.microsoft.com/office/excel/2006/main">
          <x14:cfRule type="cellIs" priority="435" operator="greaterThan" id="{02340408-873B-448A-9508-1E7D8FBFD3DF}">
            <xm:f>計分版!$C$13</xm:f>
            <x14:dxf>
              <font>
                <color rgb="FF9C0006"/>
              </font>
              <fill>
                <patternFill>
                  <bgColor rgb="FFFFC7CE"/>
                </patternFill>
              </fill>
            </x14:dxf>
          </x14:cfRule>
          <x14:cfRule type="cellIs" priority="436" operator="lessThan" id="{44C2BC7A-205A-4BEC-8C4A-B22CF117DC98}">
            <xm:f>計分版!$C$13</xm:f>
            <x14:dxf>
              <font>
                <color rgb="FF006100"/>
              </font>
              <fill>
                <patternFill>
                  <bgColor rgb="FFC6EFCE"/>
                </patternFill>
              </fill>
            </x14:dxf>
          </x14:cfRule>
          <xm:sqref>E49:E110 E3:E44 E139:E183 E275:F286</xm:sqref>
        </x14:conditionalFormatting>
        <x14:conditionalFormatting xmlns:xm="http://schemas.microsoft.com/office/excel/2006/main">
          <x14:cfRule type="cellIs" priority="272" operator="greaterThan" id="{2A4BAD19-595B-4C23-8434-4DB28A6BA5AF}">
            <xm:f>計分版!$D$13</xm:f>
            <x14:dxf>
              <font>
                <color rgb="FF9C0006"/>
              </font>
              <fill>
                <patternFill>
                  <bgColor rgb="FFFFC7CE"/>
                </patternFill>
              </fill>
            </x14:dxf>
          </x14:cfRule>
          <x14:cfRule type="cellIs" priority="273" operator="lessThan" id="{9DAE1F47-A526-4925-92F1-5332658EC50D}">
            <xm:f>計分版!$D$13</xm:f>
            <x14:dxf>
              <font>
                <color rgb="FF006100"/>
              </font>
              <fill>
                <patternFill>
                  <bgColor rgb="FFC6EFCE"/>
                </patternFill>
              </fill>
            </x14:dxf>
          </x14:cfRule>
          <xm:sqref>F139:F183</xm:sqref>
        </x14:conditionalFormatting>
        <x14:conditionalFormatting xmlns:xm="http://schemas.microsoft.com/office/excel/2006/main">
          <x14:cfRule type="cellIs" priority="270" operator="lessThan" id="{258E33CA-A441-4D0B-841A-A413FA2BABD9}">
            <xm:f>計分版!$E$13</xm:f>
            <x14:dxf>
              <font>
                <color rgb="FF006100"/>
              </font>
              <fill>
                <patternFill>
                  <bgColor rgb="FFC6EFCE"/>
                </patternFill>
              </fill>
            </x14:dxf>
          </x14:cfRule>
          <x14:cfRule type="cellIs" priority="271" operator="greaterThan" id="{358C2C50-2F4E-4E9E-BB77-31BD7CFAC08C}">
            <xm:f>計分版!$E$13</xm:f>
            <x14:dxf>
              <font>
                <color rgb="FF9C0006"/>
              </font>
              <fill>
                <patternFill>
                  <bgColor rgb="FFFFC7CE"/>
                </patternFill>
              </fill>
            </x14:dxf>
          </x14:cfRule>
          <xm:sqref>G139:G183</xm:sqref>
        </x14:conditionalFormatting>
        <x14:conditionalFormatting xmlns:xm="http://schemas.microsoft.com/office/excel/2006/main">
          <x14:cfRule type="cellIs" priority="268" operator="lessThan" id="{4880C318-D31D-4EF8-B19B-63848C84FF6F}">
            <xm:f>計分版!$F$13</xm:f>
            <x14:dxf>
              <font>
                <color rgb="FF006100"/>
              </font>
              <fill>
                <patternFill>
                  <bgColor rgb="FFC6EFCE"/>
                </patternFill>
              </fill>
            </x14:dxf>
          </x14:cfRule>
          <x14:cfRule type="cellIs" priority="269" operator="greaterThan" id="{C69089E6-6D82-4F79-A059-4B19F43BA4C7}">
            <xm:f>計分版!$F$13</xm:f>
            <x14:dxf>
              <font>
                <color rgb="FF9C0006"/>
              </font>
              <fill>
                <patternFill>
                  <bgColor rgb="FFFFC7CE"/>
                </patternFill>
              </fill>
            </x14:dxf>
          </x14:cfRule>
          <xm:sqref>H139:H183</xm:sqref>
        </x14:conditionalFormatting>
        <x14:conditionalFormatting xmlns:xm="http://schemas.microsoft.com/office/excel/2006/main">
          <x14:cfRule type="cellIs" priority="446" operator="lessThan" id="{C6017F59-446B-4668-950F-550853843906}">
            <xm:f>LARGE(計分版!$G$13:$L$13,1)</xm:f>
            <x14:dxf>
              <font>
                <color rgb="FF006100"/>
              </font>
              <fill>
                <patternFill>
                  <bgColor rgb="FFC6EFCE"/>
                </patternFill>
              </fill>
            </x14:dxf>
          </x14:cfRule>
          <x14:cfRule type="cellIs" priority="447" operator="greaterThan" id="{EF9CACA5-5F45-4A94-ACD1-571FF7F267C7}">
            <xm:f>LARGE(計分版!$G$13:$L$13,1)</xm:f>
            <x14:dxf>
              <font>
                <color rgb="FF9C0006"/>
              </font>
              <fill>
                <patternFill>
                  <bgColor rgb="FFFFC7CE"/>
                </patternFill>
              </fill>
            </x14:dxf>
          </x14:cfRule>
          <xm:sqref>I49:I76 I80 I78 I84 I87:I90 I97:I110 I3:I44 I139:I183</xm:sqref>
        </x14:conditionalFormatting>
        <x14:conditionalFormatting xmlns:xm="http://schemas.microsoft.com/office/excel/2006/main">
          <x14:cfRule type="cellIs" priority="488" operator="lessThan" id="{966FD111-DCB9-4072-BD47-6A48A0679B91}">
            <xm:f>LARGE(計分版!$G$13:$L$13,2)</xm:f>
            <x14:dxf>
              <font>
                <color rgb="FF006100"/>
              </font>
              <fill>
                <patternFill>
                  <bgColor rgb="FFC6EFCE"/>
                </patternFill>
              </fill>
            </x14:dxf>
          </x14:cfRule>
          <xm:sqref>J49:J76 J78:J84 J87:J90 J97:J110 J3:J44 J139:J183</xm:sqref>
        </x14:conditionalFormatting>
        <x14:conditionalFormatting xmlns:xm="http://schemas.microsoft.com/office/excel/2006/main">
          <x14:cfRule type="cellIs" priority="208" operator="lessThan" id="{056C8D0E-90B7-44CD-9F05-5BAF6A1037A2}">
            <xm:f>計分版!$D$4</xm:f>
            <x14:dxf>
              <font>
                <color rgb="FF006100"/>
              </font>
              <fill>
                <patternFill>
                  <bgColor rgb="FFC6EFCE"/>
                </patternFill>
              </fill>
            </x14:dxf>
          </x14:cfRule>
          <xm:sqref>F113:F135</xm:sqref>
        </x14:conditionalFormatting>
        <x14:conditionalFormatting xmlns:xm="http://schemas.microsoft.com/office/excel/2006/main">
          <x14:cfRule type="cellIs" priority="209" operator="greaterThan" id="{3CEF1584-9C00-4541-ACBB-4F7418A392A8}">
            <xm:f>計分版!$C$13</xm:f>
            <x14:dxf>
              <font>
                <color rgb="FF9C0006"/>
              </font>
              <fill>
                <patternFill>
                  <bgColor rgb="FFFFC7CE"/>
                </patternFill>
              </fill>
            </x14:dxf>
          </x14:cfRule>
          <x14:cfRule type="cellIs" priority="210" operator="lessThan" id="{DD89A17E-AAA8-4C6D-B5FF-63C881016F9E}">
            <xm:f>計分版!$C$13</xm:f>
            <x14:dxf>
              <font>
                <color rgb="FF006100"/>
              </font>
              <fill>
                <patternFill>
                  <bgColor rgb="FFC6EFCE"/>
                </patternFill>
              </fill>
            </x14:dxf>
          </x14:cfRule>
          <xm:sqref>E113:E135</xm:sqref>
        </x14:conditionalFormatting>
        <x14:conditionalFormatting xmlns:xm="http://schemas.microsoft.com/office/excel/2006/main">
          <x14:cfRule type="cellIs" priority="211" operator="greaterThan" id="{4E0FC1F7-1B34-4FB5-9618-326AE4BC612D}">
            <xm:f>計分版!$D$13</xm:f>
            <x14:dxf>
              <font>
                <color rgb="FF9C0006"/>
              </font>
              <fill>
                <patternFill>
                  <bgColor rgb="FFFFC7CE"/>
                </patternFill>
              </fill>
            </x14:dxf>
          </x14:cfRule>
          <xm:sqref>F113:F135</xm:sqref>
        </x14:conditionalFormatting>
        <x14:conditionalFormatting xmlns:xm="http://schemas.microsoft.com/office/excel/2006/main">
          <x14:cfRule type="cellIs" priority="212" operator="lessThan" id="{130985BF-43B1-4EA3-8311-59B0D018267D}">
            <xm:f>計分版!$E$13</xm:f>
            <x14:dxf>
              <font>
                <color rgb="FF006100"/>
              </font>
              <fill>
                <patternFill>
                  <bgColor rgb="FFC6EFCE"/>
                </patternFill>
              </fill>
            </x14:dxf>
          </x14:cfRule>
          <x14:cfRule type="cellIs" priority="213" operator="greaterThan" id="{76FD076F-C272-46DF-855A-82034A85D26F}">
            <xm:f>計分版!$E$13</xm:f>
            <x14:dxf>
              <font>
                <color rgb="FF9C0006"/>
              </font>
              <fill>
                <patternFill>
                  <bgColor rgb="FFFFC7CE"/>
                </patternFill>
              </fill>
            </x14:dxf>
          </x14:cfRule>
          <xm:sqref>G113:G135</xm:sqref>
        </x14:conditionalFormatting>
        <x14:conditionalFormatting xmlns:xm="http://schemas.microsoft.com/office/excel/2006/main">
          <x14:cfRule type="cellIs" priority="214" operator="lessThan" id="{90F9856F-CD92-424E-93F3-D34C5F9E095E}">
            <xm:f>計分版!$F$13</xm:f>
            <x14:dxf>
              <font>
                <color rgb="FF006100"/>
              </font>
              <fill>
                <patternFill>
                  <bgColor rgb="FFC6EFCE"/>
                </patternFill>
              </fill>
            </x14:dxf>
          </x14:cfRule>
          <x14:cfRule type="cellIs" priority="215" operator="greaterThan" id="{2C5ECE61-7361-463F-AF61-004C2E705D77}">
            <xm:f>計分版!$F$13</xm:f>
            <x14:dxf>
              <font>
                <color rgb="FF9C0006"/>
              </font>
              <fill>
                <patternFill>
                  <bgColor rgb="FFFFC7CE"/>
                </patternFill>
              </fill>
            </x14:dxf>
          </x14:cfRule>
          <xm:sqref>H113:H135</xm:sqref>
        </x14:conditionalFormatting>
        <x14:conditionalFormatting xmlns:xm="http://schemas.microsoft.com/office/excel/2006/main">
          <x14:cfRule type="cellIs" priority="216" operator="lessThan" id="{4FF85A8E-BCAA-4C84-9263-99DBCF33FBB2}">
            <xm:f>LARGE(計分版!$G$13:$L$13,2)</xm:f>
            <x14:dxf>
              <font>
                <color rgb="FF006100"/>
              </font>
              <fill>
                <patternFill>
                  <bgColor rgb="FFC6EFCE"/>
                </patternFill>
              </fill>
            </x14:dxf>
          </x14:cfRule>
          <x14:cfRule type="cellIs" priority="217" operator="greaterThan" id="{4258CA78-B546-4AC0-B729-7FEEFC3E3A51}">
            <xm:f>LARGE(計分版!$G$13:$L$13,2)</xm:f>
            <x14:dxf>
              <font>
                <color rgb="FF9C0006"/>
              </font>
              <fill>
                <patternFill>
                  <bgColor rgb="FFFFC7CE"/>
                </patternFill>
              </fill>
            </x14:dxf>
          </x14:cfRule>
          <xm:sqref>J113:J135</xm:sqref>
        </x14:conditionalFormatting>
        <x14:conditionalFormatting xmlns:xm="http://schemas.microsoft.com/office/excel/2006/main">
          <x14:cfRule type="cellIs" priority="218" operator="lessThan" id="{F18BF204-D325-4482-9EF5-3C2A8BC47B6B}">
            <xm:f>LARGE(計分版!$G$13:$L$13,1)</xm:f>
            <x14:dxf>
              <font>
                <color rgb="FF006100"/>
              </font>
              <fill>
                <patternFill>
                  <bgColor rgb="FFC6EFCE"/>
                </patternFill>
              </fill>
            </x14:dxf>
          </x14:cfRule>
          <x14:cfRule type="cellIs" priority="219" operator="greaterThan" id="{AFCE4F0E-0DE9-4F30-8B24-026B0651E33E}">
            <xm:f>LARGE(計分版!$G$13:$L$13,1)</xm:f>
            <x14:dxf>
              <font>
                <color rgb="FF9C0006"/>
              </font>
              <fill>
                <patternFill>
                  <bgColor rgb="FFFFC7CE"/>
                </patternFill>
              </fill>
            </x14:dxf>
          </x14:cfRule>
          <xm:sqref>I113:I135</xm:sqref>
        </x14:conditionalFormatting>
        <x14:conditionalFormatting xmlns:xm="http://schemas.microsoft.com/office/excel/2006/main">
          <x14:cfRule type="expression" priority="207" id="{06033D8B-3A41-4CD5-93A8-882036747793}">
            <xm:f>計分版!$U$189=0</xm:f>
            <x14:dxf>
              <font>
                <color rgb="FF9C0006"/>
              </font>
              <fill>
                <patternFill>
                  <bgColor rgb="FFFFC7CE"/>
                </patternFill>
              </fill>
            </x14:dxf>
          </x14:cfRule>
          <xm:sqref>I113</xm:sqref>
        </x14:conditionalFormatting>
        <x14:conditionalFormatting xmlns:xm="http://schemas.microsoft.com/office/excel/2006/main">
          <x14:cfRule type="expression" priority="206" id="{9EDF5313-DE6D-4E1A-87EF-C2BB1846F38E}">
            <xm:f>計分版!$R$190=0</xm:f>
            <x14:dxf>
              <font>
                <color rgb="FF9C0006"/>
              </font>
              <fill>
                <patternFill>
                  <bgColor rgb="FFFFC7CE"/>
                </patternFill>
              </fill>
            </x14:dxf>
          </x14:cfRule>
          <xm:sqref>I114</xm:sqref>
        </x14:conditionalFormatting>
        <x14:conditionalFormatting xmlns:xm="http://schemas.microsoft.com/office/excel/2006/main">
          <x14:cfRule type="expression" priority="205" id="{29AE5C39-96E4-479A-90CE-DC25C1312505}">
            <xm:f>計分版!$R$190=0</xm:f>
            <x14:dxf>
              <font>
                <color rgb="FF9C0006"/>
              </font>
              <fill>
                <patternFill>
                  <bgColor rgb="FFFFC7CE"/>
                </patternFill>
              </fill>
            </x14:dxf>
          </x14:cfRule>
          <xm:sqref>I115</xm:sqref>
        </x14:conditionalFormatting>
        <x14:conditionalFormatting xmlns:xm="http://schemas.microsoft.com/office/excel/2006/main">
          <x14:cfRule type="expression" priority="204" id="{8542958A-E023-4764-A7B9-25F191B7EA01}">
            <xm:f>AND(計分版!$V$189=0,計分版!$R$190=0)</xm:f>
            <x14:dxf>
              <font>
                <color rgb="FF9C0006"/>
              </font>
              <fill>
                <patternFill>
                  <bgColor rgb="FFFFC7CE"/>
                </patternFill>
              </fill>
            </x14:dxf>
          </x14:cfRule>
          <xm:sqref>I116</xm:sqref>
        </x14:conditionalFormatting>
        <x14:conditionalFormatting xmlns:xm="http://schemas.microsoft.com/office/excel/2006/main">
          <x14:cfRule type="expression" priority="203" id="{2B8F3243-6538-4BAA-AD5F-DE66FCF179BB}">
            <xm:f>AND(計分版!$V$189=0,計分版!$R$190=0)</xm:f>
            <x14:dxf>
              <font>
                <color rgb="FF9C0006"/>
              </font>
              <fill>
                <patternFill>
                  <bgColor rgb="FFFFC7CE"/>
                </patternFill>
              </fill>
            </x14:dxf>
          </x14:cfRule>
          <xm:sqref>I117</xm:sqref>
        </x14:conditionalFormatting>
        <x14:conditionalFormatting xmlns:xm="http://schemas.microsoft.com/office/excel/2006/main">
          <x14:cfRule type="expression" priority="202" id="{84FDD5C2-08FF-482F-B24E-D1DAE031585B}">
            <xm:f>AND(計分版!$V$189=0,計分版!$R$190=0)</xm:f>
            <x14:dxf>
              <font>
                <color rgb="FF9C0006"/>
              </font>
              <fill>
                <patternFill>
                  <bgColor rgb="FFFFC7CE"/>
                </patternFill>
              </fill>
            </x14:dxf>
          </x14:cfRule>
          <xm:sqref>I135</xm:sqref>
        </x14:conditionalFormatting>
        <x14:conditionalFormatting xmlns:xm="http://schemas.microsoft.com/office/excel/2006/main">
          <x14:cfRule type="expression" priority="200" id="{A1CCCBEE-EDF6-4962-A1AF-0ABAE5F3B2BA}">
            <xm:f>計分版!$R$199=0</xm:f>
            <x14:dxf>
              <font>
                <color rgb="FF9C0006"/>
              </font>
              <fill>
                <patternFill>
                  <bgColor rgb="FFFFC7CE"/>
                </patternFill>
              </fill>
            </x14:dxf>
          </x14:cfRule>
          <xm:sqref>I131</xm:sqref>
        </x14:conditionalFormatting>
        <x14:conditionalFormatting xmlns:xm="http://schemas.microsoft.com/office/excel/2006/main">
          <x14:cfRule type="cellIs" priority="191" operator="greaterThan" id="{406BCFB3-847C-4709-8513-E6D3D2588EE7}">
            <xm:f>計分版!$C$13</xm:f>
            <x14:dxf>
              <font>
                <color rgb="FF9C0006"/>
              </font>
              <fill>
                <patternFill>
                  <bgColor rgb="FFFFC7CE"/>
                </patternFill>
              </fill>
            </x14:dxf>
          </x14:cfRule>
          <x14:cfRule type="cellIs" priority="192" operator="lessThan" id="{832C2495-8669-43FF-8A79-B5ED09811EBC}">
            <xm:f>計分版!$C$13</xm:f>
            <x14:dxf>
              <font>
                <color rgb="FF006100"/>
              </font>
              <fill>
                <patternFill>
                  <bgColor rgb="FFC6EFCE"/>
                </patternFill>
              </fill>
            </x14:dxf>
          </x14:cfRule>
          <xm:sqref>E197:E207</xm:sqref>
        </x14:conditionalFormatting>
        <x14:conditionalFormatting xmlns:xm="http://schemas.microsoft.com/office/excel/2006/main">
          <x14:cfRule type="cellIs" priority="193" operator="greaterThan" id="{63345F93-BC33-433C-810F-2A8378073213}">
            <xm:f>計分版!$D$13</xm:f>
            <x14:dxf>
              <font>
                <color rgb="FF9C0006"/>
              </font>
              <fill>
                <patternFill>
                  <bgColor rgb="FFFFC7CE"/>
                </patternFill>
              </fill>
            </x14:dxf>
          </x14:cfRule>
          <xm:sqref>F197:F207</xm:sqref>
        </x14:conditionalFormatting>
        <x14:conditionalFormatting xmlns:xm="http://schemas.microsoft.com/office/excel/2006/main">
          <x14:cfRule type="cellIs" priority="194" operator="lessThan" id="{08B1AA89-3FAE-4033-92F9-40175527F71C}">
            <xm:f>計分版!$E$13</xm:f>
            <x14:dxf>
              <font>
                <color rgb="FF006100"/>
              </font>
              <fill>
                <patternFill>
                  <bgColor rgb="FFC6EFCE"/>
                </patternFill>
              </fill>
            </x14:dxf>
          </x14:cfRule>
          <x14:cfRule type="cellIs" priority="195" operator="greaterThan" id="{DACE0D4E-AAF1-451F-A263-3876B471A8E5}">
            <xm:f>計分版!$E$13</xm:f>
            <x14:dxf>
              <font>
                <color rgb="FF9C0006"/>
              </font>
              <fill>
                <patternFill>
                  <bgColor rgb="FFFFC7CE"/>
                </patternFill>
              </fill>
            </x14:dxf>
          </x14:cfRule>
          <xm:sqref>G197:G207</xm:sqref>
        </x14:conditionalFormatting>
        <x14:conditionalFormatting xmlns:xm="http://schemas.microsoft.com/office/excel/2006/main">
          <x14:cfRule type="cellIs" priority="196" operator="lessThan" id="{9F7626FA-5DC8-4142-89D3-C3C93A1E065D}">
            <xm:f>計分版!$F$13</xm:f>
            <x14:dxf>
              <font>
                <color rgb="FF006100"/>
              </font>
              <fill>
                <patternFill>
                  <bgColor rgb="FFC6EFCE"/>
                </patternFill>
              </fill>
            </x14:dxf>
          </x14:cfRule>
          <x14:cfRule type="cellIs" priority="197" operator="greaterThan" id="{59A13FFA-177A-49F5-A9A6-0B57893C73A2}">
            <xm:f>計分版!$F$13</xm:f>
            <x14:dxf>
              <font>
                <color rgb="FF9C0006"/>
              </font>
              <fill>
                <patternFill>
                  <bgColor rgb="FFFFC7CE"/>
                </patternFill>
              </fill>
            </x14:dxf>
          </x14:cfRule>
          <xm:sqref>H197:H207</xm:sqref>
        </x14:conditionalFormatting>
        <x14:conditionalFormatting xmlns:xm="http://schemas.microsoft.com/office/excel/2006/main">
          <x14:cfRule type="cellIs" priority="183" operator="greaterThan" id="{19202392-2C49-40C2-A166-094F16A4D4E6}">
            <xm:f>計分版!$C$13</xm:f>
            <x14:dxf>
              <font>
                <color rgb="FF9C0006"/>
              </font>
              <fill>
                <patternFill>
                  <bgColor rgb="FFFFC7CE"/>
                </patternFill>
              </fill>
            </x14:dxf>
          </x14:cfRule>
          <x14:cfRule type="cellIs" priority="184" operator="lessThan" id="{72627DFB-AB5E-4682-8A51-5A9261C8A3AF}">
            <xm:f>計分版!$C$13</xm:f>
            <x14:dxf>
              <font>
                <color rgb="FF006100"/>
              </font>
              <fill>
                <patternFill>
                  <bgColor rgb="FFC6EFCE"/>
                </patternFill>
              </fill>
            </x14:dxf>
          </x14:cfRule>
          <xm:sqref>E208:E219</xm:sqref>
        </x14:conditionalFormatting>
        <x14:conditionalFormatting xmlns:xm="http://schemas.microsoft.com/office/excel/2006/main">
          <x14:cfRule type="cellIs" priority="185" operator="greaterThan" id="{398A49DC-240A-4904-A178-E54AE723190A}">
            <xm:f>計分版!$D$13</xm:f>
            <x14:dxf>
              <font>
                <color rgb="FF9C0006"/>
              </font>
              <fill>
                <patternFill>
                  <bgColor rgb="FFFFC7CE"/>
                </patternFill>
              </fill>
            </x14:dxf>
          </x14:cfRule>
          <xm:sqref>F208:F219</xm:sqref>
        </x14:conditionalFormatting>
        <x14:conditionalFormatting xmlns:xm="http://schemas.microsoft.com/office/excel/2006/main">
          <x14:cfRule type="cellIs" priority="186" operator="lessThan" id="{795D261F-0DDE-4931-9CAC-8ED51341120E}">
            <xm:f>計分版!$E$13</xm:f>
            <x14:dxf>
              <font>
                <color rgb="FF006100"/>
              </font>
              <fill>
                <patternFill>
                  <bgColor rgb="FFC6EFCE"/>
                </patternFill>
              </fill>
            </x14:dxf>
          </x14:cfRule>
          <x14:cfRule type="cellIs" priority="187" operator="greaterThan" id="{1E6E3072-FC5B-4F94-9785-2D623AD68413}">
            <xm:f>計分版!$E$13</xm:f>
            <x14:dxf>
              <font>
                <color rgb="FF9C0006"/>
              </font>
              <fill>
                <patternFill>
                  <bgColor rgb="FFFFC7CE"/>
                </patternFill>
              </fill>
            </x14:dxf>
          </x14:cfRule>
          <xm:sqref>G208:G219</xm:sqref>
        </x14:conditionalFormatting>
        <x14:conditionalFormatting xmlns:xm="http://schemas.microsoft.com/office/excel/2006/main">
          <x14:cfRule type="cellIs" priority="188" operator="lessThan" id="{236173B3-8C5F-46EE-946F-CBCB220ACB83}">
            <xm:f>計分版!$F$13</xm:f>
            <x14:dxf>
              <font>
                <color rgb="FF006100"/>
              </font>
              <fill>
                <patternFill>
                  <bgColor rgb="FFC6EFCE"/>
                </patternFill>
              </fill>
            </x14:dxf>
          </x14:cfRule>
          <x14:cfRule type="cellIs" priority="189" operator="greaterThan" id="{18B7A438-F745-4806-8A11-AF93EDA02D92}">
            <xm:f>計分版!$F$13</xm:f>
            <x14:dxf>
              <font>
                <color rgb="FF9C0006"/>
              </font>
              <fill>
                <patternFill>
                  <bgColor rgb="FFFFC7CE"/>
                </patternFill>
              </fill>
            </x14:dxf>
          </x14:cfRule>
          <xm:sqref>H208:H219</xm:sqref>
        </x14:conditionalFormatting>
        <x14:conditionalFormatting xmlns:xm="http://schemas.microsoft.com/office/excel/2006/main">
          <x14:cfRule type="cellIs" priority="180" operator="lessThan" id="{6D442092-5CF6-47F0-848F-155088E498AE}">
            <xm:f>LARGE(計分版!$G$13:$L$13,1)</xm:f>
            <x14:dxf>
              <font>
                <color rgb="FF006100"/>
              </font>
              <fill>
                <patternFill>
                  <bgColor rgb="FFC6EFCE"/>
                </patternFill>
              </fill>
            </x14:dxf>
          </x14:cfRule>
          <x14:cfRule type="cellIs" priority="181" operator="greaterThan" id="{13C5E1AD-1D41-419E-BAE9-4346CFAD2BC3}">
            <xm:f>LARGE(計分版!$G$13:$L$13,1)</xm:f>
            <x14:dxf>
              <font>
                <color rgb="FF9C0006"/>
              </font>
              <fill>
                <patternFill>
                  <bgColor rgb="FFFFC7CE"/>
                </patternFill>
              </fill>
            </x14:dxf>
          </x14:cfRule>
          <xm:sqref>I197:I219</xm:sqref>
        </x14:conditionalFormatting>
        <x14:conditionalFormatting xmlns:xm="http://schemas.microsoft.com/office/excel/2006/main">
          <x14:cfRule type="expression" priority="172" stopIfTrue="1" id="{DEF95547-B42F-4DC1-9C7D-FA773282C09B}">
            <xm:f>AND(計分版!$E$8&gt;3,計分版!$G$8&gt;2)</xm:f>
            <x14:dxf>
              <font>
                <color rgb="FF006100"/>
              </font>
              <fill>
                <patternFill>
                  <bgColor rgb="FFC6EFCE"/>
                </patternFill>
              </fill>
            </x14:dxf>
          </x14:cfRule>
          <x14:cfRule type="expression" priority="173" id="{E8CFA679-5A9D-46E9-887F-A78D9B7F76D1}">
            <xm:f>計分版!$E$8&gt;5</xm:f>
            <x14:dxf>
              <font>
                <color rgb="FF9C5700"/>
              </font>
              <fill>
                <patternFill>
                  <bgColor rgb="FFFFEB9C"/>
                </patternFill>
              </fill>
            </x14:dxf>
          </x14:cfRule>
          <xm:sqref>I200</xm:sqref>
        </x14:conditionalFormatting>
        <x14:conditionalFormatting xmlns:xm="http://schemas.microsoft.com/office/excel/2006/main">
          <x14:cfRule type="expression" priority="708" stopIfTrue="1" id="{66CD1AAC-09B7-46FC-BFBF-F8BB65C4D7C6}">
            <xm:f>OR(AND(計分版!$O$2=計分版!$G$1,計分版!$P$2=計分版!$L$1),AND(計分版!$O$2=計分版!$L$1,計分版!$P$2=計分版!$G$1))</xm:f>
            <x14:dxf>
              <font>
                <color rgb="FF9C0006"/>
              </font>
              <fill>
                <patternFill>
                  <bgColor rgb="FFFFC7CE"/>
                </patternFill>
              </fill>
            </x14:dxf>
          </x14:cfRule>
          <xm:sqref>J49:J110</xm:sqref>
        </x14:conditionalFormatting>
        <x14:conditionalFormatting xmlns:xm="http://schemas.microsoft.com/office/excel/2006/main">
          <x14:cfRule type="expression" priority="709" id="{E8FF79A7-0AC5-4BBD-8234-78686F8C44E1}">
            <xm:f>AND(計分版!$Q$165&lt;1,計分版!$P$201=0)</xm:f>
            <x14:dxf>
              <font>
                <color rgb="FF9C0006"/>
              </font>
              <fill>
                <patternFill>
                  <bgColor rgb="FFFFC7CE"/>
                </patternFill>
              </fill>
            </x14:dxf>
          </x14:cfRule>
          <xm:sqref>I133</xm:sqref>
        </x14:conditionalFormatting>
        <x14:conditionalFormatting xmlns:xm="http://schemas.microsoft.com/office/excel/2006/main">
          <x14:cfRule type="cellIs" priority="161" operator="greaterThan" id="{A223EDD4-6466-4797-B598-2214CD7D240D}">
            <xm:f>計分版!$C$13</xm:f>
            <x14:dxf>
              <font>
                <color rgb="FF9C0006"/>
              </font>
              <fill>
                <patternFill>
                  <bgColor rgb="FFFFC7CE"/>
                </patternFill>
              </fill>
            </x14:dxf>
          </x14:cfRule>
          <x14:cfRule type="cellIs" priority="162" operator="lessThan" id="{9BAF7D47-594B-4CEE-A77A-AF04DFFD17F5}">
            <xm:f>計分版!$C$13</xm:f>
            <x14:dxf>
              <font>
                <color rgb="FF006100"/>
              </font>
              <fill>
                <patternFill>
                  <bgColor rgb="FFC6EFCE"/>
                </patternFill>
              </fill>
            </x14:dxf>
          </x14:cfRule>
          <xm:sqref>E222:E272</xm:sqref>
        </x14:conditionalFormatting>
        <x14:conditionalFormatting xmlns:xm="http://schemas.microsoft.com/office/excel/2006/main">
          <x14:cfRule type="cellIs" priority="163" operator="greaterThan" id="{49043B42-AC3A-478C-BBE7-4123099233B4}">
            <xm:f>計分版!$D$13</xm:f>
            <x14:dxf>
              <font>
                <color rgb="FF9C0006"/>
              </font>
              <fill>
                <patternFill>
                  <bgColor rgb="FFFFC7CE"/>
                </patternFill>
              </fill>
            </x14:dxf>
          </x14:cfRule>
          <xm:sqref>F222:F272</xm:sqref>
        </x14:conditionalFormatting>
        <x14:conditionalFormatting xmlns:xm="http://schemas.microsoft.com/office/excel/2006/main">
          <x14:cfRule type="cellIs" priority="164" operator="lessThan" id="{86E56E05-9924-4FE9-AC40-C27CB6406230}">
            <xm:f>計分版!$E$13</xm:f>
            <x14:dxf>
              <font>
                <color rgb="FF006100"/>
              </font>
              <fill>
                <patternFill>
                  <bgColor rgb="FFC6EFCE"/>
                </patternFill>
              </fill>
            </x14:dxf>
          </x14:cfRule>
          <x14:cfRule type="cellIs" priority="165" operator="greaterThan" id="{7CD1142D-CA97-4162-8F6F-26E34BED78DE}">
            <xm:f>計分版!$E$13</xm:f>
            <x14:dxf>
              <font>
                <color rgb="FF9C0006"/>
              </font>
              <fill>
                <patternFill>
                  <bgColor rgb="FFFFC7CE"/>
                </patternFill>
              </fill>
            </x14:dxf>
          </x14:cfRule>
          <xm:sqref>G222:G272</xm:sqref>
        </x14:conditionalFormatting>
        <x14:conditionalFormatting xmlns:xm="http://schemas.microsoft.com/office/excel/2006/main">
          <x14:cfRule type="cellIs" priority="166" operator="lessThan" id="{B759D71E-F915-435A-8F57-F7042D301A2E}">
            <xm:f>計分版!$F$13</xm:f>
            <x14:dxf>
              <font>
                <color rgb="FF006100"/>
              </font>
              <fill>
                <patternFill>
                  <bgColor rgb="FFC6EFCE"/>
                </patternFill>
              </fill>
            </x14:dxf>
          </x14:cfRule>
          <x14:cfRule type="cellIs" priority="167" operator="greaterThan" id="{8222BE7F-168F-4EE6-87B5-39EF96BB36B3}">
            <xm:f>計分版!$F$13</xm:f>
            <x14:dxf>
              <font>
                <color rgb="FF9C0006"/>
              </font>
              <fill>
                <patternFill>
                  <bgColor rgb="FFFFC7CE"/>
                </patternFill>
              </fill>
            </x14:dxf>
          </x14:cfRule>
          <xm:sqref>H222:H272</xm:sqref>
        </x14:conditionalFormatting>
        <x14:conditionalFormatting xmlns:xm="http://schemas.microsoft.com/office/excel/2006/main">
          <x14:cfRule type="cellIs" priority="168" operator="lessThan" id="{42643FAE-DB03-4197-AEBF-B6AA95517ED7}">
            <xm:f>LARGE(計分版!$G$13:$L$13,2)</xm:f>
            <x14:dxf>
              <font>
                <color rgb="FF006100"/>
              </font>
              <fill>
                <patternFill>
                  <bgColor rgb="FFC6EFCE"/>
                </patternFill>
              </fill>
            </x14:dxf>
          </x14:cfRule>
          <x14:cfRule type="cellIs" priority="169" operator="greaterThan" id="{4FE9A24B-C168-45F9-B102-66FC0D401473}">
            <xm:f>LARGE(計分版!$G$13:$L$13,2)</xm:f>
            <x14:dxf>
              <font>
                <color rgb="FF9C0006"/>
              </font>
              <fill>
                <patternFill>
                  <bgColor rgb="FFFFC7CE"/>
                </patternFill>
              </fill>
            </x14:dxf>
          </x14:cfRule>
          <xm:sqref>J222:J244 J258:J268 J247:J256</xm:sqref>
        </x14:conditionalFormatting>
        <x14:conditionalFormatting xmlns:xm="http://schemas.microsoft.com/office/excel/2006/main">
          <x14:cfRule type="cellIs" priority="170" operator="lessThan" id="{30336333-F7F9-4277-97A6-60510C2A1FD7}">
            <xm:f>LARGE(計分版!$G$13:$L$13,1)</xm:f>
            <x14:dxf>
              <font>
                <color rgb="FF006100"/>
              </font>
              <fill>
                <patternFill>
                  <bgColor rgb="FFC6EFCE"/>
                </patternFill>
              </fill>
            </x14:dxf>
          </x14:cfRule>
          <x14:cfRule type="cellIs" priority="171" operator="greaterThan" id="{B4FF2E31-80AF-4C4E-BC70-4D5CB5C323B6}">
            <xm:f>LARGE(計分版!$G$13:$L$13,1)</xm:f>
            <x14:dxf>
              <font>
                <color rgb="FF9C0006"/>
              </font>
              <fill>
                <patternFill>
                  <bgColor rgb="FFFFC7CE"/>
                </patternFill>
              </fill>
            </x14:dxf>
          </x14:cfRule>
          <xm:sqref>I222:I270 I272 J269</xm:sqref>
        </x14:conditionalFormatting>
        <x14:conditionalFormatting xmlns:xm="http://schemas.microsoft.com/office/excel/2006/main">
          <x14:cfRule type="expression" priority="159" id="{91BAF987-81F3-4E19-8BF8-6711A42C84E3}">
            <xm:f>計分版!$R$206=0</xm:f>
            <x14:dxf>
              <font>
                <color rgb="FF9C0006"/>
              </font>
              <fill>
                <patternFill>
                  <bgColor rgb="FFFFC7CE"/>
                </patternFill>
              </fill>
            </x14:dxf>
          </x14:cfRule>
          <xm:sqref>I240</xm:sqref>
        </x14:conditionalFormatting>
        <x14:conditionalFormatting xmlns:xm="http://schemas.microsoft.com/office/excel/2006/main">
          <x14:cfRule type="expression" priority="158" id="{D9B985A4-2443-4B40-B715-D532CE3C9A5A}">
            <xm:f>計分版!$R$207=0</xm:f>
            <x14:dxf>
              <font>
                <color rgb="FF9C0006"/>
              </font>
              <fill>
                <patternFill>
                  <bgColor rgb="FFFFC7CE"/>
                </patternFill>
              </fill>
            </x14:dxf>
          </x14:cfRule>
          <xm:sqref>I259</xm:sqref>
        </x14:conditionalFormatting>
        <x14:conditionalFormatting xmlns:xm="http://schemas.microsoft.com/office/excel/2006/main">
          <x14:cfRule type="expression" priority="157" id="{B2F78AA3-FEDB-44F3-8319-6E49893D0559}">
            <xm:f>計分版!$R$206=0</xm:f>
            <x14:dxf>
              <font>
                <color rgb="FF9C0006"/>
              </font>
              <fill>
                <patternFill>
                  <bgColor rgb="FFFFC7CE"/>
                </patternFill>
              </fill>
            </x14:dxf>
          </x14:cfRule>
          <xm:sqref>I258</xm:sqref>
        </x14:conditionalFormatting>
        <x14:conditionalFormatting xmlns:xm="http://schemas.microsoft.com/office/excel/2006/main">
          <x14:cfRule type="expression" priority="156" id="{4B23955A-D72B-4015-A62A-B813040CC235}">
            <xm:f>AND(計分版!$R$208=0,計分版!$T$196=0)</xm:f>
            <x14:dxf>
              <font>
                <color rgb="FF9C0006"/>
              </font>
              <fill>
                <patternFill>
                  <bgColor rgb="FFFFC7CE"/>
                </patternFill>
              </fill>
            </x14:dxf>
          </x14:cfRule>
          <xm:sqref>I261</xm:sqref>
        </x14:conditionalFormatting>
        <x14:conditionalFormatting xmlns:xm="http://schemas.microsoft.com/office/excel/2006/main">
          <x14:cfRule type="expression" priority="155" id="{80DE5A2A-8933-404A-B6F3-1ED499F42F8C}">
            <xm:f>計分版!$R$209=0</xm:f>
            <x14:dxf>
              <font>
                <color rgb="FF9C0006"/>
              </font>
              <fill>
                <patternFill>
                  <bgColor rgb="FFFFC7CE"/>
                </patternFill>
              </fill>
            </x14:dxf>
          </x14:cfRule>
          <xm:sqref>I262:I263</xm:sqref>
        </x14:conditionalFormatting>
        <x14:conditionalFormatting xmlns:xm="http://schemas.microsoft.com/office/excel/2006/main">
          <x14:cfRule type="expression" priority="154" id="{14D15436-7092-4600-92B1-8F86EB15FF00}">
            <xm:f>計分版!$R$193=0</xm:f>
            <x14:dxf>
              <font>
                <color rgb="FF9C0006"/>
              </font>
              <fill>
                <patternFill>
                  <bgColor rgb="FFFFC7CE"/>
                </patternFill>
              </fill>
            </x14:dxf>
          </x14:cfRule>
          <xm:sqref>I264</xm:sqref>
        </x14:conditionalFormatting>
        <x14:conditionalFormatting xmlns:xm="http://schemas.microsoft.com/office/excel/2006/main">
          <x14:cfRule type="expression" priority="153" id="{8B953094-E624-4661-9250-94584F0E7835}">
            <xm:f>計分版!$R$210=0</xm:f>
            <x14:dxf>
              <font>
                <color rgb="FF9C0006"/>
              </font>
              <fill>
                <patternFill>
                  <bgColor rgb="FFFFC7CE"/>
                </patternFill>
              </fill>
            </x14:dxf>
          </x14:cfRule>
          <xm:sqref>I265</xm:sqref>
        </x14:conditionalFormatting>
        <x14:conditionalFormatting xmlns:xm="http://schemas.microsoft.com/office/excel/2006/main">
          <x14:cfRule type="expression" priority="152" id="{B3578923-3683-4FC0-95E8-4898426D169D}">
            <xm:f>計分版!$R$210=0</xm:f>
            <x14:dxf>
              <font>
                <color rgb="FF9C0006"/>
              </font>
              <fill>
                <patternFill>
                  <bgColor rgb="FFFFC7CE"/>
                </patternFill>
              </fill>
            </x14:dxf>
          </x14:cfRule>
          <xm:sqref>I266</xm:sqref>
        </x14:conditionalFormatting>
        <x14:conditionalFormatting xmlns:xm="http://schemas.microsoft.com/office/excel/2006/main">
          <x14:cfRule type="expression" priority="151" id="{F18A1A43-2FFE-4FAB-AEC0-6915F580DC65}">
            <xm:f>計分版!$R$210=0</xm:f>
            <x14:dxf>
              <font>
                <color rgb="FF9C0006"/>
              </font>
              <fill>
                <patternFill>
                  <bgColor rgb="FFFFC7CE"/>
                </patternFill>
              </fill>
            </x14:dxf>
          </x14:cfRule>
          <xm:sqref>I267</xm:sqref>
        </x14:conditionalFormatting>
        <x14:conditionalFormatting xmlns:xm="http://schemas.microsoft.com/office/excel/2006/main">
          <x14:cfRule type="expression" priority="150" id="{FD178CA4-CC2C-48FA-A465-4D96D53056FF}">
            <xm:f>計分版!$R$210=0</xm:f>
            <x14:dxf>
              <font>
                <color rgb="FF9C0006"/>
              </font>
              <fill>
                <patternFill>
                  <bgColor rgb="FFFFC7CE"/>
                </patternFill>
              </fill>
            </x14:dxf>
          </x14:cfRule>
          <xm:sqref>I268</xm:sqref>
        </x14:conditionalFormatting>
        <x14:conditionalFormatting xmlns:xm="http://schemas.microsoft.com/office/excel/2006/main">
          <x14:cfRule type="expression" priority="119" id="{A03F01A0-40BC-4D6F-BB0A-35E021FE2B5F}">
            <xm:f>AND(計分版!$T$213=0,計分版!$E$7&gt;3)</xm:f>
            <x14:dxf>
              <font>
                <color rgb="FF9C5700"/>
              </font>
              <fill>
                <patternFill>
                  <bgColor rgb="FFFFEB9C"/>
                </patternFill>
              </fill>
            </x14:dxf>
          </x14:cfRule>
          <x14:cfRule type="expression" priority="120" id="{783763A3-ADFA-4646-A55F-DCA863E9D205}">
            <xm:f>計分版!$T$213=0</xm:f>
            <x14:dxf>
              <font>
                <color rgb="FF9C0006"/>
              </font>
              <fill>
                <patternFill>
                  <bgColor rgb="FFFFC7CE"/>
                </patternFill>
              </fill>
            </x14:dxf>
          </x14:cfRule>
          <x14:cfRule type="cellIs" priority="139" operator="lessThan" id="{811D69A2-F8E4-4018-8ABE-63DB598085AA}">
            <xm:f>LARGE(計分版!$G$13:$L$13,1)</xm:f>
            <x14:dxf>
              <font>
                <color rgb="FF006100"/>
              </font>
              <fill>
                <patternFill>
                  <bgColor rgb="FFC6EFCE"/>
                </patternFill>
              </fill>
            </x14:dxf>
          </x14:cfRule>
          <x14:cfRule type="cellIs" priority="140" operator="greaterThan" id="{7361A4A0-995D-47F4-B3B9-4E8FBF8991AB}">
            <xm:f>LARGE(計分版!$G$13:$L$13,1)</xm:f>
            <x14:dxf>
              <font>
                <color rgb="FF9C0006"/>
              </font>
              <fill>
                <patternFill>
                  <bgColor rgb="FFFFC7CE"/>
                </patternFill>
              </fill>
            </x14:dxf>
          </x14:cfRule>
          <xm:sqref>J257</xm:sqref>
        </x14:conditionalFormatting>
        <x14:conditionalFormatting xmlns:xm="http://schemas.microsoft.com/office/excel/2006/main">
          <x14:cfRule type="expression" priority="138" id="{7B688311-CB38-4771-B33E-1FE25181C1E9}">
            <xm:f>計分版!$R$193=0</xm:f>
            <x14:dxf>
              <font>
                <color rgb="FF9C0006"/>
              </font>
              <fill>
                <patternFill>
                  <bgColor rgb="FFFFC7CE"/>
                </patternFill>
              </fill>
            </x14:dxf>
          </x14:cfRule>
          <xm:sqref>I272</xm:sqref>
        </x14:conditionalFormatting>
        <x14:conditionalFormatting xmlns:xm="http://schemas.microsoft.com/office/excel/2006/main">
          <x14:cfRule type="expression" priority="137" id="{5024B35C-3C02-4673-9219-C628ECAE9CDF}">
            <xm:f>計分版!$R$211=0</xm:f>
            <x14:dxf>
              <font>
                <color rgb="FF9C0006"/>
              </font>
              <fill>
                <patternFill>
                  <bgColor rgb="FFFFC7CE"/>
                </patternFill>
              </fill>
            </x14:dxf>
          </x14:cfRule>
          <xm:sqref>I257</xm:sqref>
        </x14:conditionalFormatting>
        <x14:conditionalFormatting xmlns:xm="http://schemas.microsoft.com/office/excel/2006/main">
          <x14:cfRule type="expression" priority="133" id="{89F619EC-71CF-4C79-ABCF-14A0233B91A4}">
            <xm:f>計分版!$R$214=0</xm:f>
            <x14:dxf>
              <font>
                <color rgb="FF9C0006"/>
              </font>
              <fill>
                <patternFill>
                  <bgColor rgb="FFFFC7CE"/>
                </patternFill>
              </fill>
            </x14:dxf>
          </x14:cfRule>
          <xm:sqref>I270</xm:sqref>
        </x14:conditionalFormatting>
        <x14:conditionalFormatting xmlns:xm="http://schemas.microsoft.com/office/excel/2006/main">
          <x14:cfRule type="expression" priority="122" id="{32868B7D-64DD-4C6A-9A61-E39AC9C5E984}">
            <xm:f>計分版!$R$212=0</xm:f>
            <x14:dxf>
              <font>
                <color rgb="FF9C0006"/>
              </font>
              <fill>
                <patternFill>
                  <bgColor rgb="FFFFC7CE"/>
                </patternFill>
              </fill>
            </x14:dxf>
          </x14:cfRule>
          <x14:cfRule type="cellIs" priority="131" operator="lessThan" id="{77F2C86F-74CF-42CA-B13C-156220A7FBB3}">
            <xm:f>LARGE(計分版!$G$13:$L$13,1)</xm:f>
            <x14:dxf>
              <font>
                <color rgb="FF006100"/>
              </font>
              <fill>
                <patternFill>
                  <bgColor rgb="FFC6EFCE"/>
                </patternFill>
              </fill>
            </x14:dxf>
          </x14:cfRule>
          <x14:cfRule type="cellIs" priority="132" operator="greaterThan" id="{A8D70F13-231E-4AA1-831C-873E11018471}">
            <xm:f>LARGE(計分版!$G$13:$L$13,1)</xm:f>
            <x14:dxf>
              <font>
                <color rgb="FF9C0006"/>
              </font>
              <fill>
                <patternFill>
                  <bgColor rgb="FFFFC7CE"/>
                </patternFill>
              </fill>
            </x14:dxf>
          </x14:cfRule>
          <xm:sqref>J270:J272</xm:sqref>
        </x14:conditionalFormatting>
        <x14:conditionalFormatting xmlns:xm="http://schemas.microsoft.com/office/excel/2006/main">
          <x14:cfRule type="expression" priority="121" id="{2D7E16A6-D460-4DC0-ACBD-9ED45A4C1C6F}">
            <xm:f>計分版!$R$213=0</xm:f>
            <x14:dxf>
              <font>
                <color rgb="FF9C0006"/>
              </font>
              <fill>
                <patternFill>
                  <bgColor rgb="FFFFC7CE"/>
                </patternFill>
              </fill>
            </x14:dxf>
          </x14:cfRule>
          <xm:sqref>I260</xm:sqref>
        </x14:conditionalFormatting>
        <x14:conditionalFormatting xmlns:xm="http://schemas.microsoft.com/office/excel/2006/main">
          <x14:cfRule type="cellIs" priority="90" operator="greaterThan" id="{DC5F1ACD-D6BA-41BC-A94B-3E71AEF118F6}">
            <xm:f>LARGE(計分版!$G$13:$L$13,2)</xm:f>
            <x14:dxf>
              <font>
                <color rgb="FF9C0006"/>
              </font>
              <fill>
                <patternFill>
                  <bgColor rgb="FFFFC7CE"/>
                </patternFill>
              </fill>
            </x14:dxf>
          </x14:cfRule>
          <xm:sqref>J289:J317</xm:sqref>
        </x14:conditionalFormatting>
        <x14:conditionalFormatting xmlns:xm="http://schemas.microsoft.com/office/excel/2006/main">
          <x14:cfRule type="cellIs" priority="85" operator="greaterThan" id="{BCD596A0-AC75-4750-8DF6-3EAB54E7082C}">
            <xm:f>計分版!$C$13</xm:f>
            <x14:dxf>
              <font>
                <color rgb="FF9C0006"/>
              </font>
              <fill>
                <patternFill>
                  <bgColor rgb="FFFFC7CE"/>
                </patternFill>
              </fill>
            </x14:dxf>
          </x14:cfRule>
          <x14:cfRule type="cellIs" priority="86" operator="lessThan" id="{9FDD40CB-7692-42EC-8AA1-162020908964}">
            <xm:f>計分版!$C$13</xm:f>
            <x14:dxf>
              <font>
                <color rgb="FF006100"/>
              </font>
              <fill>
                <patternFill>
                  <bgColor rgb="FFC6EFCE"/>
                </patternFill>
              </fill>
            </x14:dxf>
          </x14:cfRule>
          <xm:sqref>E289:E317</xm:sqref>
        </x14:conditionalFormatting>
        <x14:conditionalFormatting xmlns:xm="http://schemas.microsoft.com/office/excel/2006/main">
          <x14:cfRule type="cellIs" priority="83" operator="greaterThan" id="{3854FC37-711B-4BDC-9225-12B4FC2F5D9C}">
            <xm:f>計分版!$D$13</xm:f>
            <x14:dxf>
              <font>
                <color rgb="FF9C0006"/>
              </font>
              <fill>
                <patternFill>
                  <bgColor rgb="FFFFC7CE"/>
                </patternFill>
              </fill>
            </x14:dxf>
          </x14:cfRule>
          <x14:cfRule type="cellIs" priority="84" operator="lessThan" id="{2E9496AA-9F15-413B-9658-7F81D2829646}">
            <xm:f>計分版!$D$13</xm:f>
            <x14:dxf>
              <font>
                <color rgb="FF006100"/>
              </font>
              <fill>
                <patternFill>
                  <bgColor rgb="FFC6EFCE"/>
                </patternFill>
              </fill>
            </x14:dxf>
          </x14:cfRule>
          <xm:sqref>F289:F296 F298:F300 F305:F312 F314:F317</xm:sqref>
        </x14:conditionalFormatting>
        <x14:conditionalFormatting xmlns:xm="http://schemas.microsoft.com/office/excel/2006/main">
          <x14:cfRule type="cellIs" priority="81" operator="lessThan" id="{5A595013-1CE4-4B9C-8F40-28F10AD31375}">
            <xm:f>計分版!$E$13</xm:f>
            <x14:dxf>
              <font>
                <color rgb="FF006100"/>
              </font>
              <fill>
                <patternFill>
                  <bgColor rgb="FFC6EFCE"/>
                </patternFill>
              </fill>
            </x14:dxf>
          </x14:cfRule>
          <x14:cfRule type="cellIs" priority="82" operator="greaterThan" id="{1F1146A5-F46A-4F32-972F-4E49A35B7AB4}">
            <xm:f>計分版!$E$13</xm:f>
            <x14:dxf>
              <font>
                <color rgb="FF9C0006"/>
              </font>
              <fill>
                <patternFill>
                  <bgColor rgb="FFFFC7CE"/>
                </patternFill>
              </fill>
            </x14:dxf>
          </x14:cfRule>
          <xm:sqref>G289:G317</xm:sqref>
        </x14:conditionalFormatting>
        <x14:conditionalFormatting xmlns:xm="http://schemas.microsoft.com/office/excel/2006/main">
          <x14:cfRule type="cellIs" priority="79" operator="lessThan" id="{F7DCE1A0-AC17-41D6-B67D-FC9911872D88}">
            <xm:f>計分版!$F$13</xm:f>
            <x14:dxf>
              <font>
                <color rgb="FF006100"/>
              </font>
              <fill>
                <patternFill>
                  <bgColor rgb="FFC6EFCE"/>
                </patternFill>
              </fill>
            </x14:dxf>
          </x14:cfRule>
          <x14:cfRule type="cellIs" priority="80" operator="greaterThan" id="{6256319F-BE33-4109-BB39-74DEA44B66D4}">
            <xm:f>計分版!$F$13</xm:f>
            <x14:dxf>
              <font>
                <color rgb="FF9C0006"/>
              </font>
              <fill>
                <patternFill>
                  <bgColor rgb="FFFFC7CE"/>
                </patternFill>
              </fill>
            </x14:dxf>
          </x14:cfRule>
          <xm:sqref>H289:H317</xm:sqref>
        </x14:conditionalFormatting>
        <x14:conditionalFormatting xmlns:xm="http://schemas.microsoft.com/office/excel/2006/main">
          <x14:cfRule type="cellIs" priority="87" operator="lessThan" id="{E22C3425-184C-4F17-905C-1F3D214B627D}">
            <xm:f>LARGE(計分版!$G$13:$L$13,1)</xm:f>
            <x14:dxf>
              <font>
                <color rgb="FF006100"/>
              </font>
              <fill>
                <patternFill>
                  <bgColor rgb="FFC6EFCE"/>
                </patternFill>
              </fill>
            </x14:dxf>
          </x14:cfRule>
          <x14:cfRule type="cellIs" priority="88" operator="greaterThan" id="{883D0AE8-72D1-4B48-9A8D-C349D7A675DD}">
            <xm:f>LARGE(計分版!$G$13:$L$13,1)</xm:f>
            <x14:dxf>
              <font>
                <color rgb="FF9C0006"/>
              </font>
              <fill>
                <patternFill>
                  <bgColor rgb="FFFFC7CE"/>
                </patternFill>
              </fill>
            </x14:dxf>
          </x14:cfRule>
          <xm:sqref>I289:I304 I307:I317</xm:sqref>
        </x14:conditionalFormatting>
        <x14:conditionalFormatting xmlns:xm="http://schemas.microsoft.com/office/excel/2006/main">
          <x14:cfRule type="cellIs" priority="89" operator="lessThan" id="{58AD6CF4-7320-4E0C-9AA3-5F6BB2923604}">
            <xm:f>LARGE(計分版!$G$13:$L$13,2)</xm:f>
            <x14:dxf>
              <font>
                <color rgb="FF006100"/>
              </font>
              <fill>
                <patternFill>
                  <bgColor rgb="FFC6EFCE"/>
                </patternFill>
              </fill>
            </x14:dxf>
          </x14:cfRule>
          <xm:sqref>J289:J317</xm:sqref>
        </x14:conditionalFormatting>
        <x14:conditionalFormatting xmlns:xm="http://schemas.microsoft.com/office/excel/2006/main">
          <x14:cfRule type="cellIs" priority="68" operator="greaterThan" id="{2017DC41-4ECE-44C4-8B98-0A86BD692E8C}">
            <xm:f>計分版!$C$13</xm:f>
            <x14:dxf>
              <font>
                <color rgb="FF9C0006"/>
              </font>
              <fill>
                <patternFill>
                  <bgColor rgb="FFFFC7CE"/>
                </patternFill>
              </fill>
            </x14:dxf>
          </x14:cfRule>
          <x14:cfRule type="cellIs" priority="69" operator="lessThan" id="{A100B17D-3AA8-4030-93E3-4F2172B388B7}">
            <xm:f>計分版!$C$13</xm:f>
            <x14:dxf>
              <font>
                <color rgb="FF006100"/>
              </font>
              <fill>
                <patternFill>
                  <bgColor rgb="FFC6EFCE"/>
                </patternFill>
              </fill>
            </x14:dxf>
          </x14:cfRule>
          <xm:sqref>F297</xm:sqref>
        </x14:conditionalFormatting>
        <x14:conditionalFormatting xmlns:xm="http://schemas.microsoft.com/office/excel/2006/main">
          <x14:cfRule type="cellIs" priority="66" operator="greaterThan" id="{EA7E4FA4-0532-4930-B700-AF52763E9377}">
            <xm:f>計分版!$C$13</xm:f>
            <x14:dxf>
              <font>
                <color rgb="FF9C0006"/>
              </font>
              <fill>
                <patternFill>
                  <bgColor rgb="FFFFC7CE"/>
                </patternFill>
              </fill>
            </x14:dxf>
          </x14:cfRule>
          <x14:cfRule type="cellIs" priority="67" operator="lessThan" id="{00301069-DEC3-4A6C-895C-06DDFE93DC02}">
            <xm:f>計分版!$C$13</xm:f>
            <x14:dxf>
              <font>
                <color rgb="FF006100"/>
              </font>
              <fill>
                <patternFill>
                  <bgColor rgb="FFC6EFCE"/>
                </patternFill>
              </fill>
            </x14:dxf>
          </x14:cfRule>
          <xm:sqref>F301</xm:sqref>
        </x14:conditionalFormatting>
        <x14:conditionalFormatting xmlns:xm="http://schemas.microsoft.com/office/excel/2006/main">
          <x14:cfRule type="cellIs" priority="64" operator="greaterThan" id="{F5156E97-6C4A-4220-8AB2-60116D366F56}">
            <xm:f>計分版!$C$13</xm:f>
            <x14:dxf>
              <font>
                <color rgb="FF9C0006"/>
              </font>
              <fill>
                <patternFill>
                  <bgColor rgb="FFFFC7CE"/>
                </patternFill>
              </fill>
            </x14:dxf>
          </x14:cfRule>
          <x14:cfRule type="cellIs" priority="65" operator="lessThan" id="{F5399B2E-D396-4A7B-9F63-DF63CE452611}">
            <xm:f>計分版!$C$13</xm:f>
            <x14:dxf>
              <font>
                <color rgb="FF006100"/>
              </font>
              <fill>
                <patternFill>
                  <bgColor rgb="FFC6EFCE"/>
                </patternFill>
              </fill>
            </x14:dxf>
          </x14:cfRule>
          <xm:sqref>F302</xm:sqref>
        </x14:conditionalFormatting>
        <x14:conditionalFormatting xmlns:xm="http://schemas.microsoft.com/office/excel/2006/main">
          <x14:cfRule type="cellIs" priority="62" operator="greaterThan" id="{34605751-D906-4182-93CB-7706ABC55BF5}">
            <xm:f>計分版!$C$13</xm:f>
            <x14:dxf>
              <font>
                <color rgb="FF9C0006"/>
              </font>
              <fill>
                <patternFill>
                  <bgColor rgb="FFFFC7CE"/>
                </patternFill>
              </fill>
            </x14:dxf>
          </x14:cfRule>
          <x14:cfRule type="cellIs" priority="63" operator="lessThan" id="{76D3F43E-D834-4D54-A360-D5125AB3A7A2}">
            <xm:f>計分版!$C$13</xm:f>
            <x14:dxf>
              <font>
                <color rgb="FF006100"/>
              </font>
              <fill>
                <patternFill>
                  <bgColor rgb="FFC6EFCE"/>
                </patternFill>
              </fill>
            </x14:dxf>
          </x14:cfRule>
          <xm:sqref>F303</xm:sqref>
        </x14:conditionalFormatting>
        <x14:conditionalFormatting xmlns:xm="http://schemas.microsoft.com/office/excel/2006/main">
          <x14:cfRule type="cellIs" priority="60" operator="greaterThan" id="{26C1DFD0-81DE-40E0-9E06-F8072600974A}">
            <xm:f>計分版!$C$13</xm:f>
            <x14:dxf>
              <font>
                <color rgb="FF9C0006"/>
              </font>
              <fill>
                <patternFill>
                  <bgColor rgb="FFFFC7CE"/>
                </patternFill>
              </fill>
            </x14:dxf>
          </x14:cfRule>
          <x14:cfRule type="cellIs" priority="61" operator="lessThan" id="{EE4CAF2D-EEB7-4592-B077-AC31B440B146}">
            <xm:f>計分版!$C$13</xm:f>
            <x14:dxf>
              <font>
                <color rgb="FF006100"/>
              </font>
              <fill>
                <patternFill>
                  <bgColor rgb="FFC6EFCE"/>
                </patternFill>
              </fill>
            </x14:dxf>
          </x14:cfRule>
          <xm:sqref>F304</xm:sqref>
        </x14:conditionalFormatting>
        <x14:conditionalFormatting xmlns:xm="http://schemas.microsoft.com/office/excel/2006/main">
          <x14:cfRule type="cellIs" priority="58" operator="lessThan" id="{931C6A77-309F-4E61-94F9-474D1F018B76}">
            <xm:f>LARGE(計分版!$G$13:$L$13,1)</xm:f>
            <x14:dxf>
              <font>
                <color rgb="FF006100"/>
              </font>
              <fill>
                <patternFill>
                  <bgColor rgb="FFC6EFCE"/>
                </patternFill>
              </fill>
            </x14:dxf>
          </x14:cfRule>
          <x14:cfRule type="cellIs" priority="59" operator="greaterThan" id="{B643F73C-D5CA-42E2-B1A7-22C2554F4BA3}">
            <xm:f>LARGE(計分版!$G$13:$L$13,1)</xm:f>
            <x14:dxf>
              <font>
                <color rgb="FF9C0006"/>
              </font>
              <fill>
                <patternFill>
                  <bgColor rgb="FFFFC7CE"/>
                </patternFill>
              </fill>
            </x14:dxf>
          </x14:cfRule>
          <xm:sqref>I271</xm:sqref>
        </x14:conditionalFormatting>
        <x14:conditionalFormatting xmlns:xm="http://schemas.microsoft.com/office/excel/2006/main">
          <x14:cfRule type="expression" priority="57" id="{416A7945-FF1A-4427-9649-AA8FCF78A3D4}">
            <xm:f>計分版!$R$214=0</xm:f>
            <x14:dxf>
              <font>
                <color rgb="FF9C0006"/>
              </font>
              <fill>
                <patternFill>
                  <bgColor rgb="FFFFC7CE"/>
                </patternFill>
              </fill>
            </x14:dxf>
          </x14:cfRule>
          <xm:sqref>I271</xm:sqref>
        </x14:conditionalFormatting>
        <x14:conditionalFormatting xmlns:xm="http://schemas.microsoft.com/office/excel/2006/main">
          <x14:cfRule type="expression" priority="56" id="{C59C2B48-9239-4B8B-9CAD-950AA2A57723}">
            <xm:f>計分版!$R$214=0</xm:f>
            <x14:dxf>
              <font>
                <color rgb="FF9C0006"/>
              </font>
              <fill>
                <patternFill>
                  <bgColor rgb="FFFFC7CE"/>
                </patternFill>
              </fill>
            </x14:dxf>
          </x14:cfRule>
          <xm:sqref>I272</xm:sqref>
        </x14:conditionalFormatting>
        <x14:conditionalFormatting xmlns:xm="http://schemas.microsoft.com/office/excel/2006/main">
          <x14:cfRule type="cellIs" priority="54" operator="lessThan" id="{4E75004E-A83F-4A0B-BBF8-F693A07BF7FA}">
            <xm:f>LARGE(計分版!$G$13:$L$13,1)</xm:f>
            <x14:dxf>
              <font>
                <color rgb="FF006100"/>
              </font>
              <fill>
                <patternFill>
                  <bgColor rgb="FFC6EFCE"/>
                </patternFill>
              </fill>
            </x14:dxf>
          </x14:cfRule>
          <x14:cfRule type="cellIs" priority="55" operator="greaterThan" id="{BCFAA110-C54D-4A0D-8E8B-35CCCECE0606}">
            <xm:f>LARGE(計分版!$G$13:$L$13,1)</xm:f>
            <x14:dxf>
              <font>
                <color rgb="FF9C0006"/>
              </font>
              <fill>
                <patternFill>
                  <bgColor rgb="FFFFC7CE"/>
                </patternFill>
              </fill>
            </x14:dxf>
          </x14:cfRule>
          <xm:sqref>I305</xm:sqref>
        </x14:conditionalFormatting>
        <x14:conditionalFormatting xmlns:xm="http://schemas.microsoft.com/office/excel/2006/main">
          <x14:cfRule type="expression" priority="53" id="{3F49BF7A-BC28-42AD-BF96-595BA1F26842}">
            <xm:f>計分版!$R$199=0</xm:f>
            <x14:dxf>
              <font>
                <color rgb="FF9C0006"/>
              </font>
              <fill>
                <patternFill>
                  <bgColor rgb="FFFFC7CE"/>
                </patternFill>
              </fill>
            </x14:dxf>
          </x14:cfRule>
          <xm:sqref>I305</xm:sqref>
        </x14:conditionalFormatting>
        <x14:conditionalFormatting xmlns:xm="http://schemas.microsoft.com/office/excel/2006/main">
          <x14:cfRule type="expression" priority="715" id="{8E66F010-44D9-44F1-A762-50ECBF74145C}">
            <xm:f>OR(計分版!$R$199=0,計分版!$S$199=0)</xm:f>
            <x14:dxf>
              <font>
                <color rgb="FF9C0006"/>
              </font>
              <fill>
                <patternFill>
                  <bgColor rgb="FFFFC7CE"/>
                </patternFill>
              </fill>
            </x14:dxf>
          </x14:cfRule>
          <xm:sqref>I269:J269</xm:sqref>
        </x14:conditionalFormatting>
        <x14:conditionalFormatting xmlns:xm="http://schemas.microsoft.com/office/excel/2006/main">
          <x14:cfRule type="cellIs" priority="51" operator="lessThan" id="{DEE8FB59-B52D-409C-B0ED-CC5CD7A5AE35}">
            <xm:f>LARGE(計分版!$G$13:$L$13,1)</xm:f>
            <x14:dxf>
              <font>
                <color rgb="FF006100"/>
              </font>
              <fill>
                <patternFill>
                  <bgColor rgb="FFC6EFCE"/>
                </patternFill>
              </fill>
            </x14:dxf>
          </x14:cfRule>
          <x14:cfRule type="cellIs" priority="52" operator="greaterThan" id="{93F5B40C-3A67-4180-AA90-3977F3ABB372}">
            <xm:f>LARGE(計分版!$G$13:$L$13,1)</xm:f>
            <x14:dxf>
              <font>
                <color rgb="FF9C0006"/>
              </font>
              <fill>
                <patternFill>
                  <bgColor rgb="FFFFC7CE"/>
                </patternFill>
              </fill>
            </x14:dxf>
          </x14:cfRule>
          <xm:sqref>I306</xm:sqref>
        </x14:conditionalFormatting>
        <x14:conditionalFormatting xmlns:xm="http://schemas.microsoft.com/office/excel/2006/main">
          <x14:cfRule type="expression" priority="50" id="{6BF09AEE-CC71-42F4-A1C3-41406DB72E4A}">
            <xm:f>計分版!$R$215=0</xm:f>
            <x14:dxf>
              <font>
                <color rgb="FF9C0006"/>
              </font>
              <fill>
                <patternFill>
                  <bgColor rgb="FFFFC7CE"/>
                </patternFill>
              </fill>
            </x14:dxf>
          </x14:cfRule>
          <xm:sqref>I306</xm:sqref>
        </x14:conditionalFormatting>
        <x14:conditionalFormatting xmlns:xm="http://schemas.microsoft.com/office/excel/2006/main">
          <x14:cfRule type="cellIs" priority="48" operator="greaterThan" id="{6F442905-5029-4BC5-86E2-BF48956EDDA4}">
            <xm:f>計分版!$C$13</xm:f>
            <x14:dxf>
              <font>
                <color rgb="FF9C0006"/>
              </font>
              <fill>
                <patternFill>
                  <bgColor rgb="FFFFC7CE"/>
                </patternFill>
              </fill>
            </x14:dxf>
          </x14:cfRule>
          <x14:cfRule type="cellIs" priority="49" operator="lessThan" id="{7D12A606-61FE-4CCB-A2A4-EF751D2B0F85}">
            <xm:f>計分版!$C$13</xm:f>
            <x14:dxf>
              <font>
                <color rgb="FF006100"/>
              </font>
              <fill>
                <patternFill>
                  <bgColor rgb="FFC6EFCE"/>
                </patternFill>
              </fill>
            </x14:dxf>
          </x14:cfRule>
          <xm:sqref>F313</xm:sqref>
        </x14:conditionalFormatting>
        <x14:conditionalFormatting xmlns:xm="http://schemas.microsoft.com/office/excel/2006/main">
          <x14:cfRule type="cellIs" priority="35" operator="greaterThan" id="{AE11D031-D297-465B-816A-5267DD308224}">
            <xm:f>計分版!$C$13</xm:f>
            <x14:dxf>
              <font>
                <color rgb="FF9C0006"/>
              </font>
              <fill>
                <patternFill>
                  <bgColor rgb="FFFFC7CE"/>
                </patternFill>
              </fill>
            </x14:dxf>
          </x14:cfRule>
          <x14:cfRule type="cellIs" priority="36" operator="lessThan" id="{7210B15C-05F3-45AE-B7E6-4F44E226D494}">
            <xm:f>計分版!$C$13</xm:f>
            <x14:dxf>
              <font>
                <color rgb="FF006100"/>
              </font>
              <fill>
                <patternFill>
                  <bgColor rgb="FFC6EFCE"/>
                </patternFill>
              </fill>
            </x14:dxf>
          </x14:cfRule>
          <xm:sqref>E320:E353</xm:sqref>
        </x14:conditionalFormatting>
        <x14:conditionalFormatting xmlns:xm="http://schemas.microsoft.com/office/excel/2006/main">
          <x14:cfRule type="cellIs" priority="33" operator="greaterThan" id="{F9336AA9-347F-4C50-8831-C7942EA74012}">
            <xm:f>計分版!$D$13</xm:f>
            <x14:dxf>
              <font>
                <color rgb="FF9C0006"/>
              </font>
              <fill>
                <patternFill>
                  <bgColor rgb="FFFFC7CE"/>
                </patternFill>
              </fill>
            </x14:dxf>
          </x14:cfRule>
          <x14:cfRule type="cellIs" priority="34" operator="lessThan" id="{59E3A80D-1B30-4C3B-833C-B3BF7600B62F}">
            <xm:f>計分版!$D$13</xm:f>
            <x14:dxf>
              <font>
                <color rgb="FF006100"/>
              </font>
              <fill>
                <patternFill>
                  <bgColor rgb="FFC6EFCE"/>
                </patternFill>
              </fill>
            </x14:dxf>
          </x14:cfRule>
          <xm:sqref>F320:F353</xm:sqref>
        </x14:conditionalFormatting>
        <x14:conditionalFormatting xmlns:xm="http://schemas.microsoft.com/office/excel/2006/main">
          <x14:cfRule type="cellIs" priority="31" operator="lessThan" id="{65BA2338-094B-49D4-B9B6-DB28F20EBD20}">
            <xm:f>計分版!$E$13</xm:f>
            <x14:dxf>
              <font>
                <color rgb="FF006100"/>
              </font>
              <fill>
                <patternFill>
                  <bgColor rgb="FFC6EFCE"/>
                </patternFill>
              </fill>
            </x14:dxf>
          </x14:cfRule>
          <x14:cfRule type="cellIs" priority="32" operator="greaterThan" id="{7984ABD7-7CBC-4262-A901-9BD9DB023CF0}">
            <xm:f>計分版!$E$13</xm:f>
            <x14:dxf>
              <font>
                <color rgb="FF9C0006"/>
              </font>
              <fill>
                <patternFill>
                  <bgColor rgb="FFFFC7CE"/>
                </patternFill>
              </fill>
            </x14:dxf>
          </x14:cfRule>
          <xm:sqref>G320:G353</xm:sqref>
        </x14:conditionalFormatting>
        <x14:conditionalFormatting xmlns:xm="http://schemas.microsoft.com/office/excel/2006/main">
          <x14:cfRule type="cellIs" priority="29" operator="lessThan" id="{23E6329B-6405-427B-8490-8485FEC1B489}">
            <xm:f>計分版!$F$13</xm:f>
            <x14:dxf>
              <font>
                <color rgb="FF006100"/>
              </font>
              <fill>
                <patternFill>
                  <bgColor rgb="FFC6EFCE"/>
                </patternFill>
              </fill>
            </x14:dxf>
          </x14:cfRule>
          <x14:cfRule type="cellIs" priority="30" operator="greaterThan" id="{2B84BFD8-4805-4958-AF6B-DC23485A6C81}">
            <xm:f>計分版!$F$13</xm:f>
            <x14:dxf>
              <font>
                <color rgb="FF9C0006"/>
              </font>
              <fill>
                <patternFill>
                  <bgColor rgb="FFFFC7CE"/>
                </patternFill>
              </fill>
            </x14:dxf>
          </x14:cfRule>
          <xm:sqref>H320:H353</xm:sqref>
        </x14:conditionalFormatting>
        <x14:conditionalFormatting xmlns:xm="http://schemas.microsoft.com/office/excel/2006/main">
          <x14:cfRule type="cellIs" priority="37" operator="lessThan" id="{AE54C24D-DD04-4A2C-9709-E1CFB1C473B0}">
            <xm:f>LARGE(計分版!$G$13:$L$13,1)</xm:f>
            <x14:dxf>
              <font>
                <color rgb="FF006100"/>
              </font>
              <fill>
                <patternFill>
                  <bgColor rgb="FFC6EFCE"/>
                </patternFill>
              </fill>
            </x14:dxf>
          </x14:cfRule>
          <x14:cfRule type="cellIs" priority="38" operator="greaterThan" id="{0D241B1E-2767-489E-A105-2D92DEBE5A6B}">
            <xm:f>LARGE(計分版!$G$13:$L$13,1)</xm:f>
            <x14:dxf>
              <font>
                <color rgb="FF9C0006"/>
              </font>
              <fill>
                <patternFill>
                  <bgColor rgb="FFFFC7CE"/>
                </patternFill>
              </fill>
            </x14:dxf>
          </x14:cfRule>
          <xm:sqref>I320:I353</xm:sqref>
        </x14:conditionalFormatting>
        <x14:conditionalFormatting xmlns:xm="http://schemas.microsoft.com/office/excel/2006/main">
          <x14:cfRule type="cellIs" priority="16" operator="greaterThan" id="{9739940C-FDC8-4D79-AF3D-7C26F33706C3}">
            <xm:f>計分版!$C$13</xm:f>
            <x14:dxf>
              <font>
                <color rgb="FF9C0006"/>
              </font>
              <fill>
                <patternFill>
                  <bgColor rgb="FFFFC7CE"/>
                </patternFill>
              </fill>
            </x14:dxf>
          </x14:cfRule>
          <x14:cfRule type="cellIs" priority="17" operator="lessThan" id="{7A70B0CF-E355-48EE-ACFC-C2BD19E79AF6}">
            <xm:f>計分版!$C$13</xm:f>
            <x14:dxf>
              <font>
                <color rgb="FF006100"/>
              </font>
              <fill>
                <patternFill>
                  <bgColor rgb="FFC6EFCE"/>
                </patternFill>
              </fill>
            </x14:dxf>
          </x14:cfRule>
          <xm:sqref>E356:E392</xm:sqref>
        </x14:conditionalFormatting>
        <x14:conditionalFormatting xmlns:xm="http://schemas.microsoft.com/office/excel/2006/main">
          <x14:cfRule type="cellIs" priority="14" operator="greaterThan" id="{59895B39-7DD5-4F12-B406-25808A6702E4}">
            <xm:f>計分版!$D$13</xm:f>
            <x14:dxf>
              <font>
                <color rgb="FF9C0006"/>
              </font>
              <fill>
                <patternFill>
                  <bgColor rgb="FFFFC7CE"/>
                </patternFill>
              </fill>
            </x14:dxf>
          </x14:cfRule>
          <x14:cfRule type="cellIs" priority="15" operator="lessThan" id="{83BC9418-4A52-4B7E-9B39-FAF224389A02}">
            <xm:f>計分版!$D$13</xm:f>
            <x14:dxf>
              <font>
                <color rgb="FF006100"/>
              </font>
              <fill>
                <patternFill>
                  <bgColor rgb="FFC6EFCE"/>
                </patternFill>
              </fill>
            </x14:dxf>
          </x14:cfRule>
          <xm:sqref>F356:F392</xm:sqref>
        </x14:conditionalFormatting>
        <x14:conditionalFormatting xmlns:xm="http://schemas.microsoft.com/office/excel/2006/main">
          <x14:cfRule type="cellIs" priority="12" operator="lessThan" id="{9C246D77-7F81-4896-9441-71EAECC01A18}">
            <xm:f>計分版!$E$13</xm:f>
            <x14:dxf>
              <font>
                <color rgb="FF006100"/>
              </font>
              <fill>
                <patternFill>
                  <bgColor rgb="FFC6EFCE"/>
                </patternFill>
              </fill>
            </x14:dxf>
          </x14:cfRule>
          <x14:cfRule type="cellIs" priority="13" operator="greaterThan" id="{440244A9-DDC7-4A60-8152-FF12367BA48E}">
            <xm:f>計分版!$E$13</xm:f>
            <x14:dxf>
              <font>
                <color rgb="FF9C0006"/>
              </font>
              <fill>
                <patternFill>
                  <bgColor rgb="FFFFC7CE"/>
                </patternFill>
              </fill>
            </x14:dxf>
          </x14:cfRule>
          <xm:sqref>G356:G392</xm:sqref>
        </x14:conditionalFormatting>
        <x14:conditionalFormatting xmlns:xm="http://schemas.microsoft.com/office/excel/2006/main">
          <x14:cfRule type="cellIs" priority="10" operator="lessThan" id="{9DAEC16C-CADA-42CC-8DAE-8283F3EB0DCF}">
            <xm:f>計分版!$F$13</xm:f>
            <x14:dxf>
              <font>
                <color rgb="FF006100"/>
              </font>
              <fill>
                <patternFill>
                  <bgColor rgb="FFC6EFCE"/>
                </patternFill>
              </fill>
            </x14:dxf>
          </x14:cfRule>
          <x14:cfRule type="cellIs" priority="11" operator="greaterThan" id="{8968154B-D058-46B0-8C99-C6C1BF2E2118}">
            <xm:f>計分版!$F$13</xm:f>
            <x14:dxf>
              <font>
                <color rgb="FF9C0006"/>
              </font>
              <fill>
                <patternFill>
                  <bgColor rgb="FFFFC7CE"/>
                </patternFill>
              </fill>
            </x14:dxf>
          </x14:cfRule>
          <xm:sqref>H356:H392</xm:sqref>
        </x14:conditionalFormatting>
        <x14:conditionalFormatting xmlns:xm="http://schemas.microsoft.com/office/excel/2006/main">
          <x14:cfRule type="cellIs" priority="18" operator="lessThan" id="{D4BC58CB-98FB-4219-9FF1-DBF05B12E05A}">
            <xm:f>LARGE(計分版!$G$13:$L$13,1)</xm:f>
            <x14:dxf>
              <font>
                <color rgb="FF006100"/>
              </font>
              <fill>
                <patternFill>
                  <bgColor rgb="FFC6EFCE"/>
                </patternFill>
              </fill>
            </x14:dxf>
          </x14:cfRule>
          <x14:cfRule type="cellIs" priority="19" operator="greaterThan" id="{C2341DB2-65E6-4AEB-87D0-05EE9B46A88C}">
            <xm:f>LARGE(計分版!$G$13:$L$13,1)</xm:f>
            <x14:dxf>
              <font>
                <color rgb="FF9C0006"/>
              </font>
              <fill>
                <patternFill>
                  <bgColor rgb="FFFFC7CE"/>
                </patternFill>
              </fill>
            </x14:dxf>
          </x14:cfRule>
          <xm:sqref>I356:I392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1C26-04D1-4F6A-B9C6-736098E50942}">
  <dimension ref="A1:Z407"/>
  <sheetViews>
    <sheetView topLeftCell="A236" zoomScale="115" zoomScaleNormal="115" workbookViewId="0">
      <selection activeCell="A260" sqref="A260"/>
    </sheetView>
  </sheetViews>
  <sheetFormatPr defaultColWidth="8.875" defaultRowHeight="15.75"/>
  <cols>
    <col min="1" max="1" width="9.75" style="43" customWidth="1"/>
    <col min="2" max="2" width="17.875" style="43" customWidth="1"/>
    <col min="3" max="3" width="11.125" style="162" customWidth="1"/>
    <col min="4" max="4" width="8.875" style="43" customWidth="1"/>
    <col min="5" max="5" width="10" style="43" bestFit="1" customWidth="1"/>
    <col min="6" max="6" width="9.5" style="43" bestFit="1" customWidth="1"/>
    <col min="7" max="7" width="10.25" style="43" customWidth="1"/>
    <col min="8" max="8" width="10.125" style="43" customWidth="1"/>
    <col min="9" max="9" width="11.25" style="43" customWidth="1"/>
    <col min="10" max="10" width="8.75" style="43" customWidth="1"/>
    <col min="11" max="11" width="7.75" style="43" customWidth="1"/>
    <col min="12" max="12" width="7.25" style="51" customWidth="1"/>
    <col min="13" max="13" width="7.75" style="51" customWidth="1"/>
    <col min="14" max="14" width="8.25" style="43" customWidth="1"/>
    <col min="15" max="15" width="10.125" style="43" customWidth="1"/>
    <col min="16" max="16" width="10.625" style="43" customWidth="1"/>
    <col min="17" max="17" width="7" style="43" customWidth="1"/>
    <col min="18" max="18" width="8.375" style="43" customWidth="1"/>
    <col min="19" max="19" width="7.875" style="43" customWidth="1"/>
    <col min="20" max="20" width="6.125" style="43" customWidth="1"/>
    <col min="21" max="21" width="9.25" style="43" customWidth="1"/>
    <col min="22" max="23" width="8.75" style="43" customWidth="1"/>
    <col min="24" max="24" width="9.5" style="43" customWidth="1"/>
    <col min="25" max="25" width="16.875" style="43" bestFit="1" customWidth="1"/>
    <col min="26" max="16384" width="8.875" style="43"/>
  </cols>
  <sheetData>
    <row r="1" spans="1:24" ht="16.5">
      <c r="B1" s="44" t="s">
        <v>429</v>
      </c>
      <c r="C1" s="161" t="s">
        <v>2</v>
      </c>
      <c r="D1" s="3" t="s">
        <v>1</v>
      </c>
      <c r="E1" s="44" t="s">
        <v>3</v>
      </c>
      <c r="F1" s="13" t="s">
        <v>4</v>
      </c>
      <c r="G1" s="44" t="s">
        <v>86</v>
      </c>
      <c r="H1" s="44" t="str">
        <f>主頁!B15</f>
        <v>請選擇第一選修科</v>
      </c>
      <c r="I1" s="44" t="str">
        <f>主頁!B16</f>
        <v>請選擇第二選修科</v>
      </c>
      <c r="J1" s="44" t="str">
        <f>主頁!B17</f>
        <v>請選擇第三選修科</v>
      </c>
      <c r="K1" s="44" t="str">
        <f>主頁!B18</f>
        <v>請選擇第四選修科</v>
      </c>
      <c r="L1" s="50" t="str">
        <f>主頁!B19</f>
        <v>請選擇語言科目</v>
      </c>
      <c r="M1" s="50"/>
    </row>
    <row r="2" spans="1:24" ht="16.5">
      <c r="A2" s="44" t="s">
        <v>430</v>
      </c>
      <c r="C2" s="162" t="str">
        <f>IF($I$16=FALSE,主頁!C8,O6)</f>
        <v>請選擇等級</v>
      </c>
      <c r="D2" s="43" t="str">
        <f>IF($I$16=FALSE,主頁!C9,P6)</f>
        <v>請選擇等級</v>
      </c>
      <c r="E2" s="43" t="str">
        <f>IF($I$16=FALSE,主頁!C10,Q6)</f>
        <v>請選擇等級</v>
      </c>
      <c r="F2" s="43" t="str">
        <f>IF($I$16=FALSE,主頁!C11,R6)</f>
        <v>請選擇等級</v>
      </c>
      <c r="G2" s="43" t="str">
        <f>IF($I$16=FALSE,主頁!C12,S6)</f>
        <v>請選擇等級</v>
      </c>
      <c r="H2" s="43" t="str">
        <f>IF($I$16=FALSE,主頁!C15,T6)</f>
        <v>請選擇等級</v>
      </c>
      <c r="I2" s="43" t="str">
        <f>IF($I$16=FALSE,主頁!C16,U6)</f>
        <v>請選擇等級</v>
      </c>
      <c r="J2" s="43" t="str">
        <f>IF($I$16=FALSE,主頁!C17,V6)</f>
        <v>請選擇等級</v>
      </c>
      <c r="K2" s="43" t="str">
        <f>IF($I$16=FALSE,主頁!C18,W6)</f>
        <v>請選擇等級</v>
      </c>
      <c r="L2" s="51" t="str">
        <f>IF($I$16=FALSE,主頁!C19,X5)</f>
        <v>請選擇等級</v>
      </c>
      <c r="O2" s="43" t="str">
        <f>INDEX(G$1:L$1,MATCH(LARGE(G13:L13,1),G13:L13,0))</f>
        <v>請選擇語言科目</v>
      </c>
      <c r="P2" s="43" t="str">
        <f>INDEX(G$1:L$1,MATCH(LARGE(G13:L13,2),G13:L13,0))</f>
        <v>請選擇第四選修科</v>
      </c>
    </row>
    <row r="3" spans="1:24" ht="16.5">
      <c r="A3" s="44"/>
      <c r="B3" s="44" t="s">
        <v>432</v>
      </c>
      <c r="C3" s="162">
        <f>IF(OR(C2="請選擇等級",C2=FALSE,C2=0),0,LOOKUP(C2,{1,2,3,4,5,"5*","5**","U"},{1,2,3,4,5.5,7,8.5,0}))+0.0000000001</f>
        <v>1E-10</v>
      </c>
      <c r="D3" s="43">
        <f>IF(OR(D2="請選擇等級",D2=FALSE,D2=0),0,LOOKUP(D2,{1,2,3,4,5,"5*","5**","U"},{1,2,3,4,5.5,7,8.5,0}))+0.0000000002</f>
        <v>2.0000000000000001E-10</v>
      </c>
      <c r="E3" s="43">
        <f>IF(OR(E2="請選擇等級",E2=FALSE,E2=0),0,LOOKUP(E2,{1,2,3,4,5,"5*","5**","U"},{1,2,3,4,5.5,7,8.5,0}))+0.0000000003</f>
        <v>3E-10</v>
      </c>
      <c r="F3" s="43">
        <f>IF(OR(F2="請選擇等級",F2=FALSE,F2=0),0,LOOKUP(F2,{1,2,3,4,5,"5*","5**","U"},{1,2,3,4,5.5,7,8.5,0}))+0.0000000004</f>
        <v>4.0000000000000001E-10</v>
      </c>
      <c r="G3" s="43">
        <f>IF(OR(G2="請選擇等級",G2=FALSE,G2=0),0,LOOKUP(G2,{1,2,3,4,5,"5*","5**","U"},{1,2,3,4,5.5,7,8.5,0}))+0.0000000005</f>
        <v>5.0000000000000003E-10</v>
      </c>
      <c r="H3" s="43">
        <f>IF(OR(H2="請選擇等級",H2=FALSE,H2=0),0,LOOKUP(H2,{1,2,3,4,5,"5*","5**","U"},{1,2,3,4,5.5,7,8.5,0}))+0.0000000006</f>
        <v>6E-10</v>
      </c>
      <c r="I3" s="43">
        <f>IF(OR(I2="請選擇等級",I2=FALSE,I2=0),0,LOOKUP(I2,{1,2,3,4,5,"5*","5**","U"},{1,2,3,4,5.5,7,8.5,0}))+0.0000000007</f>
        <v>6.9999999999999996E-10</v>
      </c>
      <c r="J3" s="43">
        <f>IF(OR(J2="請選擇等級",J2=FALSE,J2=0),0,LOOKUP(J2,{1,2,3,4,5,"5*","5**","U"},{1,2,3,4,5.5,7,8.5,0}))+0.0000000008</f>
        <v>8.0000000000000003E-10</v>
      </c>
      <c r="K3" s="43">
        <f>IF(OR(K2="請選擇等級",K2=FALSE,K2=0),0,LOOKUP(K2,{1,2,3,4,5,"5*","5**","U"},{1,2,3,4,5.5,7,8.5,0}))+0.0000000009</f>
        <v>8.9999999999999999E-10</v>
      </c>
      <c r="L3" s="51">
        <f>IF(OR(L2="請選擇等級",L2=FALSE,L2=0),0,LOOKUP(L2,{"A","B","C","D","E","U"},{7,5.5,4,2.5,1,0}))+0.00000000095</f>
        <v>9.5000000000000003E-10</v>
      </c>
    </row>
    <row r="4" spans="1:24" ht="16.5">
      <c r="B4" s="44" t="s">
        <v>218</v>
      </c>
      <c r="C4" s="162">
        <f>IF(OR(C2="請選擇等級",C2=FALSE,C2=0),0,LOOKUP(C2,{1,2,3,4,5,"5*","5**","U"},{1,2,3,4,5.5,7,8.5,0}))+0.0000000001</f>
        <v>1E-10</v>
      </c>
      <c r="D4" s="43">
        <f>IF(OR(D2="請選擇等級",D2=FALSE,D2=0),0,LOOKUP(D2,{1,2,3,4,5,"5*","5**","U"},{1,2,3,4,5.5,7,8.5,0}))+0.0000000002</f>
        <v>2.0000000000000001E-10</v>
      </c>
      <c r="E4" s="43">
        <f>IF(OR(E2="請選擇等級",E2=FALSE,E2=0),0,LOOKUP(E2,{1,2,3,4,5,"5*","5**","U"},{1,2,3,4,5.5,7,8.5,0}))+0.0000000003</f>
        <v>3E-10</v>
      </c>
      <c r="F4" s="43">
        <f>IF(OR(F2="請選擇等級",F2=FALSE,F2=0),0,LOOKUP(F2,{1,2,3,4,5,"5*","5**","U"},{1,2,3,4,5.5,7,8.5,0}))+0.0000000004</f>
        <v>4.0000000000000001E-10</v>
      </c>
      <c r="G4" s="43">
        <f>IF(OR(G2="請選擇等級",G2=FALSE,G2=0),0,LOOKUP(G2,{1,2,3,4,5,"5*","5**","U"},{1,2,3,4,5.5,7,8.5,0}))+0.0000000005</f>
        <v>5.0000000000000003E-10</v>
      </c>
      <c r="H4" s="43">
        <f>IF(OR(H2="請選擇等級",H2=FALSE,H2=0),0,LOOKUP(H2,{1,2,3,4,5,"5*","5**","U"},{1,2,3,4,5.5,7,8.5,0}))+0.0000000006</f>
        <v>6E-10</v>
      </c>
      <c r="I4" s="43">
        <f>IF(OR(I2="請選擇等級",I2=FALSE,I2=0),0,LOOKUP(I2,{1,2,3,4,5,"5*","5**","U"},{1,2,3,4,5.5,7,8.5,0}))+0.0000000007</f>
        <v>6.9999999999999996E-10</v>
      </c>
      <c r="J4" s="43">
        <f>IF(OR(J2="請選擇等級",J2=FALSE,J2=0),0,LOOKUP(J2,{1,2,3,4,5,"5*","5**","U"},{1,2,3,4,5.5,7,8.5,0}))+0.0000000008</f>
        <v>8.0000000000000003E-10</v>
      </c>
      <c r="K4" s="43">
        <f>IF(OR(K2="請選擇等級",K2=FALSE,K2=0),0,LOOKUP(K2,{1,2,3,4,5,"5*","5**","U"},{1,2,3,4,5.5,7,8.5,0}))+0.0000000009</f>
        <v>8.9999999999999999E-10</v>
      </c>
      <c r="L4" s="51">
        <f>IF(OR(L2="請選擇等級",L2=FALSE,L2=0),0,LOOKUP(L2,{"A","B","C","D","E","U"},{5.5,4,3,2,1,0}))+0.00000000095</f>
        <v>9.5000000000000003E-10</v>
      </c>
      <c r="O4" s="43" t="s">
        <v>1021</v>
      </c>
    </row>
    <row r="5" spans="1:24" ht="16.5">
      <c r="B5" s="44" t="s">
        <v>608</v>
      </c>
      <c r="C5" s="162">
        <f>IF(OR(C2="請選擇等級",C2=FALSE,C2=0),0,LOOKUP(C2,{1,2,3,4,5,"5*","5**","U"},{1,2,3,4,5,6,7,0}))+0.0000000001</f>
        <v>1E-10</v>
      </c>
      <c r="D5" s="43">
        <f>IF(OR(D2="請選擇等級",D2=FALSE,D2=0),0,LOOKUP(D2,{1,2,3,4,5,"5*","5**","U"},{1,2,3,4,5,6,7,0}))+0.0000000002</f>
        <v>2.0000000000000001E-10</v>
      </c>
      <c r="E5" s="43">
        <f>IF(OR(E2="請選擇等級",E2=FALSE,E2=0),0,LOOKUP(E2,{1,2,3,4,5,"5*","5**","U"},{1,2,3,4,5,6,7,0}))+0.0000000003</f>
        <v>3E-10</v>
      </c>
      <c r="F5" s="43">
        <f>IF(OR(F2="請選擇等級",F2=FALSE,F2=0),0,LOOKUP(F2,{1,2,3,4,5,"5*","5**","U"},{1,2,3,4,5,6,7,0}))+0.0000000004</f>
        <v>4.0000000000000001E-10</v>
      </c>
      <c r="G5" s="43">
        <f>IF(OR(G2="請選擇等級",G2=FALSE,G2=0),0,LOOKUP(G2,{1,2,3,4,5,"5*","5**","U"},{1,2,3,4,5,6,7,0}))+0.0000000005</f>
        <v>5.0000000000000003E-10</v>
      </c>
      <c r="H5" s="43">
        <f>IF(OR(H2="請選擇等級",H2=FALSE,H2=0),0,LOOKUP(H2,{1,2,3,4,5,"5*","5**","U"},{1,2,3,4,5,6,7,0}))+0.0000000006</f>
        <v>6E-10</v>
      </c>
      <c r="I5" s="43">
        <f>IF(OR(I2="請選擇等級",I2=FALSE,I2=0),0,LOOKUP(I2,{1,2,3,4,5,"5*","5**","U"},{1,2,3,4,5,6,7,0}))+0.0000000007</f>
        <v>6.9999999999999996E-10</v>
      </c>
      <c r="J5" s="43">
        <f>IF(OR(J2="請選擇等級",J2=FALSE,J2=0),0,LOOKUP(J2,{1,2,3,4,5,"5*","5**","U"},{1,2,3,4,5,6,7,0}))+0.0000000008</f>
        <v>8.0000000000000003E-10</v>
      </c>
      <c r="K5" s="43">
        <f>IF(OR(K2="請選擇等級",K2=FALSE,K2=0),0,LOOKUP(K2,{1,2,3,4,5,"5*","5**","U"},{1,2,3,4,5,6,7,0}))+0.0000000009</f>
        <v>8.9999999999999999E-10</v>
      </c>
      <c r="L5" s="43">
        <f>IF(OR(L2="請選擇等級",L2=FALSE,L2=0),0,LOOKUP(L2,{"A","B","C","D","E","U"},{5,4,3,2,1,0}))+0.00000000095</f>
        <v>9.5000000000000003E-10</v>
      </c>
      <c r="O5" s="51">
        <f>主頁!D8</f>
        <v>0</v>
      </c>
      <c r="P5" s="51">
        <f>主頁!D9</f>
        <v>0</v>
      </c>
      <c r="Q5" s="51">
        <f>主頁!D10</f>
        <v>0</v>
      </c>
      <c r="R5" s="51">
        <f>主頁!D11</f>
        <v>0</v>
      </c>
      <c r="S5" s="51">
        <f>主頁!D12</f>
        <v>0</v>
      </c>
      <c r="T5" s="51">
        <f>主頁!D15</f>
        <v>0</v>
      </c>
      <c r="U5" s="51">
        <f>主頁!D16</f>
        <v>0</v>
      </c>
      <c r="V5" s="51">
        <f>主頁!D17</f>
        <v>0</v>
      </c>
      <c r="W5" s="51">
        <f>主頁!D18</f>
        <v>0</v>
      </c>
      <c r="X5" s="43">
        <f>主頁!D19</f>
        <v>0</v>
      </c>
    </row>
    <row r="6" spans="1:24" ht="16.5">
      <c r="B6" s="44" t="s">
        <v>687</v>
      </c>
      <c r="C6" s="162">
        <f>IF(OR(C2="請選擇等級",C2=FALSE,C2=0),0,LOOKUP(C2,{1,2,3,4,5,"5*","5**","U"},{1,2,3,4,5,6,7,0}))+0.0000000001</f>
        <v>1E-10</v>
      </c>
      <c r="D6" s="43">
        <f>IF(OR(D2="請選擇等級",D2=FALSE,D2=0),0,LOOKUP(D2,{1,2,3,4,5,"5*","5**","U"},{1,2,3,4,5,6,7,0}))+0.0000000002</f>
        <v>2.0000000000000001E-10</v>
      </c>
      <c r="E6" s="43">
        <f>IF(OR(E2="請選擇等級",E2=FALSE,E2=0),0,LOOKUP(E2,{1,2,3,4,5,"5*","5**","U"},{1,2,3,4,5,6,7,0}))+0.0000000003</f>
        <v>3E-10</v>
      </c>
      <c r="F6" s="43">
        <f>IF(OR(F2="請選擇等級",F2=FALSE,F2=0),0,LOOKUP(F2,{1,2,3,4,5,"5*","5**","U"},{1,2,3,4,5,6,7,0}))+0.0000000004</f>
        <v>4.0000000000000001E-10</v>
      </c>
      <c r="G6" s="43">
        <f>IF(OR(G2="請選擇等級",G2=FALSE,G2=0),0,LOOKUP(G2,{1,2,3,4,5,"5*","5**","U"},{1,2,3,4,5,6,7,0}))+0.0000000005</f>
        <v>5.0000000000000003E-10</v>
      </c>
      <c r="H6" s="43">
        <f>IF(OR(H2="請選擇等級",H2=FALSE,H2=0),0,LOOKUP(H2,{1,2,3,4,5,"5*","5**","U"},{1,2,3,4,5,6,7,0}))+0.0000000006</f>
        <v>6E-10</v>
      </c>
      <c r="I6" s="43">
        <f>IF(OR(I2="請選擇等級",I2=FALSE,I2=0),0,LOOKUP(I2,{1,2,3,4,5,"5*","5**","U"},{1,2,3,4,5,6,7,0}))+0.0000000007</f>
        <v>6.9999999999999996E-10</v>
      </c>
      <c r="J6" s="43">
        <f>IF(OR(J2="請選擇等級",J2=FALSE,J2=0),0,LOOKUP(J2,{1,2,3,4,5,"5*","5**","U"},{1,2,3,4,5,6,7,0}))+0.0000000008</f>
        <v>8.0000000000000003E-10</v>
      </c>
      <c r="K6" s="43">
        <f>IF(OR(K2="請選擇等級",K2=FALSE,K2=0),0,LOOKUP(K2,{1,2,3,4,5,"5*","5**","U"},{1,2,3,4,5,6,7,0}))+0.0000000009</f>
        <v>8.9999999999999999E-10</v>
      </c>
      <c r="L6" s="43">
        <f>IF(OR(L2="請選擇等級",L2=FALSE,L2=0),0,LOOKUP(L2,{"A","B","C","D","E","U"},{7,5.5,4,2.5,1,0}))+0.00000000095</f>
        <v>9.5000000000000003E-10</v>
      </c>
      <c r="O6" s="43">
        <f>IF(OR(O5="請選擇等級",O5=FALSE,O5=0),0,LOOKUP(O5,{1,2,3,4,5,6,7,0},{1,2,3,4,5,"5*","5**","U"}))</f>
        <v>0</v>
      </c>
      <c r="P6" s="43">
        <f>IF(OR(P5="請選擇等級",P5=FALSE,P5=0),0,LOOKUP(P5,{1,2,3,4,5,6,7,0},{1,2,3,4,5,"5*","5**","U"}))</f>
        <v>0</v>
      </c>
      <c r="Q6" s="43">
        <f>IF(OR(Q5="請選擇等級",Q5=FALSE,Q5=0),0,LOOKUP(Q5,{1,2,3,4,5,6,7,0},{1,2,3,4,5,"5*","5**","U"}))</f>
        <v>0</v>
      </c>
      <c r="R6" s="43">
        <f>IF(OR(R5="請選擇等級",R5=FALSE,R5=0),0,LOOKUP(R5,{1,2,3,4,5,6,7,0},{1,2,3,4,5,"5*","5**","U"}))</f>
        <v>0</v>
      </c>
      <c r="S6" s="43">
        <f>IF(OR(S5="請選擇等級",S5=FALSE,S5=0),0,LOOKUP(S5,{1,2,3,4,5,6,7,0},{1,2,3,4,5,"5*","5**","U"}))</f>
        <v>0</v>
      </c>
      <c r="T6" s="43">
        <f>IF(OR(T5="請選擇等級",T5=FALSE,T5=0),0,LOOKUP(T5,{1,2,3,4,5,6,7,0},{1,2,3,4,5,"5*","5**","U"}))</f>
        <v>0</v>
      </c>
      <c r="U6" s="43">
        <f>IF(OR(U5="請選擇等級",U5=FALSE,U5=0),0,LOOKUP(U5,{1,2,3,4,5,6,7,0},{1,2,3,4,5,"5*","5**","U"}))</f>
        <v>0</v>
      </c>
      <c r="V6" s="43">
        <f>IF(OR(V5="請選擇等級",V5=FALSE,V5=0),0,LOOKUP(V5,{1,2,3,4,5,6,7,0},{1,2,3,4,5,"5*","5**","U"}))</f>
        <v>0</v>
      </c>
      <c r="W6" s="43">
        <f>IF(OR(W5="請選擇等級",W5=FALSE,W5=0),0,LOOKUP(W5,{1,2,3,4,5,6,7,0},{1,2,3,4,5,"5*","5**","U"}))</f>
        <v>0</v>
      </c>
    </row>
    <row r="7" spans="1:24" ht="16.5">
      <c r="B7" s="44" t="s">
        <v>843</v>
      </c>
      <c r="C7" s="162">
        <f>IF(OR(C2="請選擇等級",C2=FALSE,C2=0),0,LOOKUP(C2,{1,2,3,4,5,"5*","5**","U"},{1,2,3,4,5,6,7,0}))+0.0000000001</f>
        <v>1E-10</v>
      </c>
      <c r="D7" s="43">
        <f>IF(OR(D2="請選擇等級",D2=FALSE,D2=0),0,LOOKUP(D2,{1,2,3,4,5,"5*","5**","U"},{1,2,3,4,5,6,7,0}))+0.0000000002</f>
        <v>2.0000000000000001E-10</v>
      </c>
      <c r="E7" s="43">
        <f>IF(OR(E2="請選擇等級",E2=FALSE,E2=0),0,LOOKUP(E2,{1,2,3,4,5,"5*","5**","U"},{1,2,3,4,5,6,7,0}))+0.0000000003</f>
        <v>3E-10</v>
      </c>
      <c r="F7" s="43">
        <f>IF(OR(F2="請選擇等級",F2=FALSE,F2=0),0,LOOKUP(F2,{1,2,3,4,5,"5*","5**","U"},{1,2,3,4,5,6,7,0}))+0.0000000004</f>
        <v>4.0000000000000001E-10</v>
      </c>
      <c r="G7" s="43">
        <f>IF(OR(G2="請選擇等級",G2=FALSE,G2=0),0,LOOKUP(G2,{1,2,3,4,5,"5*","5**","U"},{1,2,3,4,5,6,7,0}))+0.0000000005</f>
        <v>5.0000000000000003E-10</v>
      </c>
      <c r="H7" s="43">
        <f>IF(OR(H2="請選擇等級",H2=FALSE,H2=0),0,LOOKUP(H2,{1,2,3,4,5,"5*","5**","U"},{1,2,3,4,5,6,7,0}))+0.0000000006</f>
        <v>6E-10</v>
      </c>
      <c r="I7" s="43">
        <f>IF(OR(I2="請選擇等級",I2=FALSE,I2=0),0,LOOKUP(I2,{1,2,3,4,5,"5*","5**","U"},{1,2,3,4,5,6,7,0}))+0.0000000007</f>
        <v>6.9999999999999996E-10</v>
      </c>
      <c r="J7" s="43">
        <f>IF(OR(J2="請選擇等級",J2=FALSE,J2=0),0,LOOKUP(J2,{1,2,3,4,5,"5*","5**","U"},{1,2,3,4,5,6,7,0}))+0.0000000008</f>
        <v>8.0000000000000003E-10</v>
      </c>
      <c r="K7" s="43">
        <f>IF(OR(K2="請選擇等級",K2=FALSE,K2=0),0,LOOKUP(K2,{1,2,3,4,5,"5*","5**","U"},{1,2,3,4,5,6,7,0}))+0.0000000009</f>
        <v>8.9999999999999999E-10</v>
      </c>
      <c r="L7" s="43">
        <f>IF(OR(L2="請選擇等級",L2=FALSE,L2=0),0,LOOKUP(L2,{"A","B","C","D","E","U"},{5,4,3,2,1,0}))+0.00000000095</f>
        <v>9.5000000000000003E-10</v>
      </c>
    </row>
    <row r="8" spans="1:24" ht="16.5">
      <c r="B8" s="44" t="s">
        <v>961</v>
      </c>
      <c r="C8" s="162">
        <f>IF(OR(C2="請選擇等級",C2=FALSE,C2=0),0,LOOKUP(C2,{1,2,3,4,5,"5*","5**","U"},{1,2,3,4,5,6,7,0}))+0.0000000001</f>
        <v>1E-10</v>
      </c>
      <c r="D8" s="43">
        <f>IF(OR(D2="請選擇等級",D2=FALSE,D2=0),0,LOOKUP(D2,{1,2,3,4,5,"5*","5**","U"},{1,2,3,4,5,6,7,0}))+0.0000000002</f>
        <v>2.0000000000000001E-10</v>
      </c>
      <c r="E8" s="43">
        <f>IF(OR(E2="請選擇等級",E2=FALSE,E2=0),0,LOOKUP(E2,{1,2,3,4,5,"5*","5**","U"},{1,2,3,4,5,6,7,0}))+0.0000000003</f>
        <v>3E-10</v>
      </c>
      <c r="F8" s="43">
        <f>IF(OR(F2="請選擇等級",F2=FALSE,F2=0),0,LOOKUP(F2,{1,2,3,4,5,"5*","5**","U"},{1,2,3,4,5,6,7,0}))+0.0000000004</f>
        <v>4.0000000000000001E-10</v>
      </c>
      <c r="G8" s="43">
        <f>IF(OR(G2="請選擇等級",G2=FALSE,G2=0),0,LOOKUP(G2,{1,2,3,4,5,"5*","5**","U"},{1,2,3,4,5,6,7,0}))+0.0000000005</f>
        <v>5.0000000000000003E-10</v>
      </c>
      <c r="H8" s="43">
        <f>IF(OR(H2="請選擇等級",H2=FALSE,H2=0),0,LOOKUP(H2,{1,2,3,4,5,"5*","5**","U"},{1,2,3,4,5,6,7,0}))+0.0000000006</f>
        <v>6E-10</v>
      </c>
      <c r="I8" s="43">
        <f>IF(OR(I2="請選擇等級",I2=FALSE,I2=0),0,LOOKUP(I2,{1,2,3,4,5,"5*","5**","U"},{1,2,3,4,5,6,7,0}))+0.0000000007</f>
        <v>6.9999999999999996E-10</v>
      </c>
      <c r="J8" s="43">
        <f>IF(OR(J2="請選擇等級",J2=FALSE,J2=0),0,LOOKUP(J2,{1,2,3,4,5,"5*","5**","U"},{1,2,3,4,5,6,7,0}))+0.0000000008</f>
        <v>8.0000000000000003E-10</v>
      </c>
      <c r="K8" s="43">
        <f>IF(OR(K2="請選擇等級",K2=FALSE,K2=0),0,LOOKUP(K2,{1,2,3,4,5,"5*","5**","U"},{1,2,3,4,5,6,7,0}))+0.0000000009</f>
        <v>8.9999999999999999E-10</v>
      </c>
      <c r="L8" s="43">
        <f>IF(OR(L2="請選擇等級",L2=FALSE,L2=0),0,LOOKUP(L2,{"A","B","C","D","E","U"},{7,6,5,4,3,0}))+0.00000000095</f>
        <v>9.5000000000000003E-10</v>
      </c>
    </row>
    <row r="9" spans="1:24" ht="16.5">
      <c r="B9" s="44" t="s">
        <v>963</v>
      </c>
      <c r="C9" s="162">
        <f>IF(OR(C2="請選擇等級",C2=FALSE,C2=0),0,LOOKUP(C2,{1,2,3,4,5,"5*","5**","U"},{1,2,3,4,5,6,7,0}))+0.0000000001</f>
        <v>1E-10</v>
      </c>
      <c r="D9" s="43">
        <f>IF(OR(D2="請選擇等級",D2=FALSE,D2=0),0,LOOKUP(D2,{1,2,3,4,5,"5*","5**","U"},{1,2,3,4,5,6,7,0}))+0.0000000002</f>
        <v>2.0000000000000001E-10</v>
      </c>
      <c r="E9" s="43">
        <f>IF(OR(E2="請選擇等級",E2=FALSE,E2=0),0,LOOKUP(E2,{1,2,3,4,5,"5*","5**","U"},{1,2,3,4,5,6,7,0}))+0.0000000003</f>
        <v>3E-10</v>
      </c>
      <c r="F9" s="43">
        <f>IF(OR(F2="請選擇等級",F2=FALSE,F2=0),0,LOOKUP(F2,{1,2,3,4,5,"5*","5**","U"},{1,2,3,4,5,6,7,0}))+0.0000000004</f>
        <v>4.0000000000000001E-10</v>
      </c>
      <c r="G9" s="43">
        <f>IF(OR(G2="請選擇等級",G2=FALSE,G2=0),0,LOOKUP(G2,{1,2,3,4,5,"5*","5**","U"},{0,0,0,0,0,0,0,0}))+0.0000000005</f>
        <v>5.0000000000000003E-10</v>
      </c>
      <c r="H9" s="43">
        <f>IF(OR(H2="請選擇等級",H2=FALSE,H2=0),0,LOOKUP(H2,{1,2,3,4,5,"5*","5**","U"},{1,2,3,4,5,6,7,0}))+0.0000000006</f>
        <v>6E-10</v>
      </c>
      <c r="I9" s="43">
        <f>IF(OR(I2="請選擇等級",I2=FALSE,I2=0),0,LOOKUP(I2,{1,2,3,4,5,"5*","5**","U"},{1,2,3,4,5,6,7,0}))+0.0000000007</f>
        <v>6.9999999999999996E-10</v>
      </c>
      <c r="J9" s="43">
        <f>IF(OR(J2="請選擇等級",J2=FALSE,J2=0),0,LOOKUP(J2,{1,2,3,4,5,"5*","5**","U"},{1,2,3,4,5,6,7,0}))+0.0000000008</f>
        <v>8.0000000000000003E-10</v>
      </c>
      <c r="K9" s="43">
        <f>IF(OR(K2="請選擇等級",K2=FALSE,K2=0),0,LOOKUP(K2,{1,2,3,4,5,"5*","5**","U"},{1,2,3,4,5,6,7,0}))+0.0000000009</f>
        <v>8.9999999999999999E-10</v>
      </c>
      <c r="L9" s="43">
        <f>IF(OR(L2="請選擇等級",L2=FALSE,L2=0),0,LOOKUP(L2,{"A","B","C","D","E","U"},{5,4,3,2,1,0}))+0.00000000095</f>
        <v>9.5000000000000003E-10</v>
      </c>
    </row>
    <row r="10" spans="1:24" ht="16.5">
      <c r="B10" s="44" t="s">
        <v>1018</v>
      </c>
      <c r="C10" s="162">
        <f>IF(OR(C2="請選擇等級",C2=FALSE,C2=0),0,LOOKUP(C2,{1,2,3,4,5,"5*","5**","U"},{1,2,3,4,5,6,7,0}))+0.0000000001</f>
        <v>1E-10</v>
      </c>
      <c r="D10" s="43">
        <f>IF(OR(D2="請選擇等級",D2=FALSE,D2=0),0,LOOKUP(D2,{1,2,3,4,5,"5*","5**","U"},{1,2,3,4,5,6,7,0}))+0.0000000002</f>
        <v>2.0000000000000001E-10</v>
      </c>
      <c r="E10" s="43">
        <f>IF(OR(E2="請選擇等級",E2=FALSE,E2=0),0,LOOKUP(E2,{1,2,3,4,5,"5*","5**","U"},{1,2,3,4,5,6,7,0}))+0.0000000003</f>
        <v>3E-10</v>
      </c>
      <c r="F10" s="43">
        <f>IF(OR(F2="請選擇等級",F2=FALSE,F2=0),0,LOOKUP(F2,{1,2,3,4,5,"5*","5**","U"},{1,2,3,4,5,6,7,0}))+0.0000000004</f>
        <v>4.0000000000000001E-10</v>
      </c>
      <c r="G10" s="43">
        <f>IF(OR(G2="請選擇等級",G2=FALSE,G2=0),0,LOOKUP(G2,{1,2,3,4,5,"5*","5**","U"},{0,0,0,0,0,0,0,0}))+0.0000000005</f>
        <v>5.0000000000000003E-10</v>
      </c>
      <c r="H10" s="43">
        <f>IF(OR(H2="請選擇等級",H2=FALSE,H2=0),0,LOOKUP(H2,{1,2,3,4,5,"5*","5**","U"},{1,2,3,4,5,6,7,0}))+0.0000000006</f>
        <v>6E-10</v>
      </c>
      <c r="I10" s="43">
        <f>IF(OR(I2="請選擇等級",I2=FALSE,I2=0),0,LOOKUP(I2,{1,2,3,4,5,"5*","5**","U"},{1,2,3,4,5,6,7,0}))+0.0000000007</f>
        <v>6.9999999999999996E-10</v>
      </c>
      <c r="J10" s="43">
        <f>IF(OR(J2="請選擇等級",J2=FALSE,J2=0),0,LOOKUP(J2,{1,2,3,4,5,"5*","5**","U"},{1,2,3,4,5,6,7,0}))+0.0000000008</f>
        <v>8.0000000000000003E-10</v>
      </c>
      <c r="K10" s="43">
        <f>IF(OR(K2="請選擇等級",K2=FALSE,K2=0),0,LOOKUP(K2,{1,2,3,4,5,"5*","5**","U"},{1,2,3,4,5,6,7,0}))+0.0000000009</f>
        <v>8.9999999999999999E-10</v>
      </c>
      <c r="L10" s="43">
        <f>IF(OR(L2="請選擇等級",L2=FALSE,L2=0),0,LOOKUP(L2,{"A","B","C","D","E","U"},{5,4,3,2,1,0}))+0.00000000095</f>
        <v>9.5000000000000003E-10</v>
      </c>
      <c r="M10" s="51" t="s">
        <v>1510</v>
      </c>
      <c r="N10" s="43" t="s">
        <v>1511</v>
      </c>
    </row>
    <row r="11" spans="1:24" ht="16.5">
      <c r="B11" s="44" t="s">
        <v>1387</v>
      </c>
      <c r="C11" s="162">
        <f>IF(OR(C2="請選擇等級",C2=FALSE,C2=0),0,LOOKUP(C2,{1,2,3,4,5,"5*","5**","U"},{1,2,3,4,5,6,7,0}))+0.0000000001</f>
        <v>1E-10</v>
      </c>
      <c r="D11" s="43">
        <f>IF(OR(D2="請選擇等級",D2=FALSE,D2=0),0,LOOKUP(D2,{1,2,3,4,5,"5*","5**","U"},{1,2,3,4,5,6,7,0}))+0.0000000002</f>
        <v>2.0000000000000001E-10</v>
      </c>
      <c r="E11" s="43">
        <f>IF(OR(E2="請選擇等級",E2=FALSE,E2=0),0,LOOKUP(E2,{1,2,3,4,5,"5*","5**","U"},{1,2,3,4,5,6,7,0}))+0.0000000003</f>
        <v>3E-10</v>
      </c>
      <c r="F11" s="43">
        <f>IF(OR(F2="請選擇等級",F2=FALSE,F2=0),0,LOOKUP(F2,{1,2,3,4,5,"5*","5**","U"},{1,2,3,4,5,6,7,0}))+0.0000000004</f>
        <v>4.0000000000000001E-10</v>
      </c>
      <c r="H11" s="43">
        <f>IF(OR(H2="請選擇等級",H2=FALSE,H2=0),0,LOOKUP(H2,{1,2,3,4,5,"5*","5**","U"},{1,2,3,4,5,6,7,0}))+0.0000000006</f>
        <v>6E-10</v>
      </c>
      <c r="I11" s="43">
        <f>IF(OR(I2="請選擇等級",I2=FALSE,I2=0),0,LOOKUP(I2,{1,2,3,4,5,"5*","5**","U"},{1,2,3,4,5,6,7,0}))+0.0000000007</f>
        <v>6.9999999999999996E-10</v>
      </c>
      <c r="J11" s="43">
        <f>IF(OR(J2="請選擇等級",J2=FALSE,J2=0),0,LOOKUP(J2,{1,2,3,4,5,"5*","5**","U"},{1,2,3,4,5,6,7,0}))+0.0000000008</f>
        <v>8.0000000000000003E-10</v>
      </c>
      <c r="K11" s="43">
        <f>IF(OR(K2="請選擇等級",K2=FALSE,K2=0),0,LOOKUP(K2,{1,2,3,4,5,"5*","5**","U"},{1,2,3,4,5,6,7,0}))+0.0000000009</f>
        <v>8.9999999999999999E-10</v>
      </c>
      <c r="L11" s="43">
        <f>IF(OR(L2="請選擇等級",L2=FALSE,L2=0),0,LOOKUP(L2,{"A","B","C","D","E","U"},{6,5,4,3,2,0}))+0.00000000095</f>
        <v>9.5000000000000003E-10</v>
      </c>
      <c r="M11" s="51">
        <f>IF(OR(L2="請選擇等級",L2=FALSE,L2=0),0,LOOKUP(L2,{"A","B","C","D","E","U"},{3,3,3,2,2,0}))+0.00000000095</f>
        <v>9.5000000000000003E-10</v>
      </c>
      <c r="N11" s="43">
        <f>IF(OR(L2="請選擇等級",L2=FALSE,L2=0),0,LOOKUP(L2,{"A","B","C","D","E","U"},{5,4,3,2,1,0}))+0.00000000095</f>
        <v>9.5000000000000003E-10</v>
      </c>
    </row>
    <row r="12" spans="1:24" ht="16.5">
      <c r="B12" s="44"/>
      <c r="L12" s="43"/>
    </row>
    <row r="13" spans="1:24" ht="16.5">
      <c r="B13" s="44" t="s">
        <v>431</v>
      </c>
      <c r="C13" s="162">
        <f>IF(OR(C2="請選擇等級",C2=FALSE,C2=0),0,LOOKUP(C2,{1,2,3,4,5,"5*","5**","U"},{1,2,3,4,5,6,7,0}))+0.0000000001</f>
        <v>1E-10</v>
      </c>
      <c r="D13" s="43">
        <f>IF(OR(D2="請選擇等級",D2=FALSE,D2=0),0,LOOKUP(D2,{1,2,3,4,5,"5*","5**","U"},{1,2,3,4,5,6,7,0}))+0.0000000002</f>
        <v>2.0000000000000001E-10</v>
      </c>
      <c r="E13" s="43">
        <f>IF(OR(E2="請選擇等級",E2=FALSE,E2=0),0,LOOKUP(E2,{1,2,3,4,5,"5*","5**","U"},{1,2,3,4,5,6,7,0}))+0.0000000003</f>
        <v>3E-10</v>
      </c>
      <c r="F13" s="43">
        <f>IF(OR(F2="請選擇等級",F2=FALSE,F2=0),0,LOOKUP(F2,{1,2,3,4,5,"5*","5**","U"},{1,2,3,4,5,6,7,0}))+0.0000000004</f>
        <v>4.0000000000000001E-10</v>
      </c>
      <c r="G13" s="43">
        <f>IF(OR(G2="請選擇等級",G2=FALSE,G2=0),0,LOOKUP(G2,{1,2,3,4,5,"5*","5**","U"},{1,2,3,4,5,6,7,0}))+0.0000000005</f>
        <v>5.0000000000000003E-10</v>
      </c>
      <c r="H13" s="43">
        <f>IF(OR(H2="請選擇等級",H2=FALSE,H2=0),0,LOOKUP(H2,{1,2,3,4,5,"5*","5**","U"},{1,2,3,4,5,6,7,0}))+0.0000000006</f>
        <v>6E-10</v>
      </c>
      <c r="I13" s="43">
        <f>IF(OR(I2="請選擇等級",I2=FALSE,I2=0),0,LOOKUP(I2,{1,2,3,4,5,"5*","5**","U"},{1,2,3,4,5,6,7,0}))+0.0000000007</f>
        <v>6.9999999999999996E-10</v>
      </c>
      <c r="J13" s="43">
        <f>IF(OR(J2="請選擇等級",J2=FALSE,J2=0),0,LOOKUP(J2,{1,2,3,4,5,"5*","5**","U"},{1,2,3,4,5,6,7,0}))+0.0000000008</f>
        <v>8.0000000000000003E-10</v>
      </c>
      <c r="K13" s="43">
        <f>IF(OR(K2="請選擇等級",K2=FALSE,K2=0),0,LOOKUP(K2,{1,2,3,4,5,"5*","5**","U"},{1,2,3,4,5,6,7,0}))+0.0000000009</f>
        <v>8.9999999999999999E-10</v>
      </c>
      <c r="L13" s="51">
        <f>IF(OR(L2="請選擇等級",L2=FALSE,L2=0),0,LOOKUP(L2,{"A","B","C","D","E","U"},{5,4,3,2,1,0}))+0.00000000095</f>
        <v>9.5000000000000003E-10</v>
      </c>
    </row>
    <row r="14" spans="1:24" ht="16.5">
      <c r="B14" s="44"/>
    </row>
    <row r="15" spans="1:24" ht="16.5">
      <c r="A15" s="3" t="s">
        <v>88</v>
      </c>
      <c r="B15" s="43">
        <f>LARGE((C13:F13,H13:K13),1)+LARGE((C13:F13,H13:K13),2)+LARGE((C13:F13,H13:K13),3)+LARGE((C13:F13,H13:K13),4)+LARGE((C13:F13,H13:K13),5)</f>
        <v>3.3999999999999998E-9</v>
      </c>
      <c r="D15" s="3" t="s">
        <v>90</v>
      </c>
      <c r="E15" s="43">
        <f>LARGE((C13:K13),1)+LARGE((C13:K13),2)+LARGE((C13:K13),3)+LARGE((C13:K13),4)+LARGE((C13:K13),5)</f>
        <v>3.4999999999999999E-9</v>
      </c>
      <c r="F15" s="3" t="s">
        <v>92</v>
      </c>
      <c r="G15" s="43">
        <f>SUM($C$13:$F$13)+LARGE(($G$13:$K$13),1)</f>
        <v>1.9000000000000001E-9</v>
      </c>
      <c r="H15" s="44" t="s">
        <v>93</v>
      </c>
      <c r="I15" s="43" t="b">
        <v>1</v>
      </c>
    </row>
    <row r="16" spans="1:24" ht="16.5">
      <c r="A16" s="3" t="s">
        <v>80</v>
      </c>
      <c r="B16" s="43">
        <f>LARGE((C13:F13,H13:K13),1)+LARGE((C13:F13,H13:K13),2)+LARGE((C13:F13,H13:K13),3)+LARGE((C13:F13,H13:K13),4)+LARGE((C13:F13,H13:K13),5)+LARGE((C13:F13,H13:K13),6)</f>
        <v>3.7E-9</v>
      </c>
      <c r="D16" s="3" t="s">
        <v>91</v>
      </c>
      <c r="E16" s="43">
        <f>LARGE((C13:K13),1)+LARGE((C13:K13),2)+LARGE((C13:K13),3)+LARGE((C13:K13),4)+LARGE((C13:K13),5)+LARGE((C13:K13),6)</f>
        <v>3.9000000000000002E-9</v>
      </c>
      <c r="F16" s="13" t="s">
        <v>89</v>
      </c>
      <c r="G16" s="43">
        <f>SUM($C$13:$F$13)+LARGE(($G$13:$K$13),1)+LARGE(($G$13:$K$13),2)</f>
        <v>2.7000000000000002E-9</v>
      </c>
      <c r="H16" s="43" t="s">
        <v>1020</v>
      </c>
      <c r="I16" s="40" t="b">
        <v>0</v>
      </c>
      <c r="J16" s="40"/>
      <c r="K16" s="40"/>
    </row>
    <row r="17" spans="1:19" ht="16.5">
      <c r="A17" s="3" t="s">
        <v>84</v>
      </c>
      <c r="B17" s="43">
        <f>SUM($C$13:$F$13)+LARGE(($H$13:$J$13,$K$13),1)</f>
        <v>1.9000000000000001E-9</v>
      </c>
      <c r="D17" s="3"/>
      <c r="F17" s="3"/>
      <c r="J17" s="40"/>
      <c r="K17" s="40"/>
    </row>
    <row r="18" spans="1:19" ht="16.5">
      <c r="A18" s="13" t="s">
        <v>83</v>
      </c>
      <c r="B18" s="43">
        <f>SUM($C$13:$F$13)+LARGE(($H$13:$J$13,$K$13),1)+LARGE(($H$13:$J$13,$K$13),2)</f>
        <v>2.7000000000000002E-9</v>
      </c>
      <c r="D18" s="3"/>
      <c r="F18" s="13"/>
      <c r="J18" s="40"/>
    </row>
    <row r="19" spans="1:19" ht="16.5">
      <c r="A19" s="13"/>
      <c r="E19" s="43" t="s">
        <v>609</v>
      </c>
      <c r="F19" s="43" t="s">
        <v>610</v>
      </c>
      <c r="G19" s="43" t="s">
        <v>611</v>
      </c>
      <c r="H19" s="43" t="s">
        <v>612</v>
      </c>
      <c r="I19" s="43" t="s">
        <v>613</v>
      </c>
      <c r="J19" s="43" t="s">
        <v>614</v>
      </c>
      <c r="K19" s="43" t="s">
        <v>615</v>
      </c>
      <c r="L19" s="43" t="s">
        <v>616</v>
      </c>
      <c r="M19" s="43" t="s">
        <v>617</v>
      </c>
      <c r="N19" s="43" t="s">
        <v>618</v>
      </c>
    </row>
    <row r="20" spans="1:19" ht="16.5">
      <c r="A20" s="44" t="s">
        <v>432</v>
      </c>
      <c r="D20" s="44" t="s">
        <v>219</v>
      </c>
      <c r="E20" s="3" t="s">
        <v>2</v>
      </c>
      <c r="F20" s="3" t="s">
        <v>1</v>
      </c>
      <c r="G20" s="44" t="s">
        <v>3</v>
      </c>
      <c r="H20" s="13" t="s">
        <v>4</v>
      </c>
      <c r="I20" s="44" t="s">
        <v>86</v>
      </c>
      <c r="J20" s="44" t="str">
        <f>H1</f>
        <v>請選擇第一選修科</v>
      </c>
      <c r="K20" s="44" t="str">
        <f>I1</f>
        <v>請選擇第二選修科</v>
      </c>
      <c r="L20" s="50" t="str">
        <f>J1</f>
        <v>請選擇第三選修科</v>
      </c>
      <c r="M20" s="50" t="str">
        <f>K1</f>
        <v>請選擇第四選修科</v>
      </c>
      <c r="N20" s="44" t="str">
        <f>L1</f>
        <v>請選擇語言科目</v>
      </c>
      <c r="P20" s="44" t="s">
        <v>439</v>
      </c>
      <c r="Q20" s="44" t="s">
        <v>434</v>
      </c>
    </row>
    <row r="21" spans="1:19">
      <c r="A21" s="49" t="s">
        <v>231</v>
      </c>
      <c r="B21" s="49" t="s">
        <v>232</v>
      </c>
      <c r="C21" s="163" t="s">
        <v>427</v>
      </c>
      <c r="D21" s="49">
        <f>LARGE(E21:N21,1)+LARGE(E21:N21,2)+LARGE(E21:N21,3)+LARGE(E21:N21,4)+LARGE(E21:N21,5)</f>
        <v>3.9500000000000006E-9</v>
      </c>
      <c r="E21" s="43">
        <f t="shared" ref="E21:N21" si="0">C3</f>
        <v>1E-10</v>
      </c>
      <c r="F21" s="43">
        <f t="shared" si="0"/>
        <v>2.0000000000000001E-10</v>
      </c>
      <c r="G21" s="43">
        <f t="shared" si="0"/>
        <v>3E-10</v>
      </c>
      <c r="H21" s="43">
        <f t="shared" si="0"/>
        <v>4.0000000000000001E-10</v>
      </c>
      <c r="I21" s="43">
        <f t="shared" si="0"/>
        <v>5.0000000000000003E-10</v>
      </c>
      <c r="J21" s="43">
        <f t="shared" si="0"/>
        <v>6E-10</v>
      </c>
      <c r="K21" s="43">
        <f t="shared" si="0"/>
        <v>6.9999999999999996E-10</v>
      </c>
      <c r="L21" s="51">
        <f t="shared" si="0"/>
        <v>8.0000000000000003E-10</v>
      </c>
      <c r="M21" s="51">
        <f t="shared" si="0"/>
        <v>8.9999999999999999E-10</v>
      </c>
      <c r="N21" s="43">
        <f t="shared" si="0"/>
        <v>9.5000000000000003E-10</v>
      </c>
      <c r="P21" s="43">
        <f>IF(Q21="無",0,1)</f>
        <v>0</v>
      </c>
      <c r="Q21" s="57" t="str">
        <f>IF(R21&gt;0,INDEX(P31:S31,MATCH(LARGE(P32:S32,1),P32:S32,0)),"無")</f>
        <v>無</v>
      </c>
      <c r="R21" s="57">
        <f>LARGE(P32:S32,1)</f>
        <v>0</v>
      </c>
    </row>
    <row r="22" spans="1:19" ht="16.5">
      <c r="A22" s="49" t="s">
        <v>233</v>
      </c>
      <c r="B22" s="49" t="s">
        <v>234</v>
      </c>
      <c r="C22" s="163" t="s">
        <v>82</v>
      </c>
      <c r="D22" s="49">
        <f>LARGE((E22:H22,J22:M22),1)+LARGE((E22:H22,J22:M22),2)+LARGE((E22:H22,J22:M22),3)+LARGE((E22:H22,J22:M22),4)+LARGE((E22:H22,J22:M22),5)</f>
        <v>3.3999999999999998E-9</v>
      </c>
      <c r="E22" s="43">
        <f t="shared" ref="E22:N22" si="1">C3</f>
        <v>1E-10</v>
      </c>
      <c r="F22" s="43">
        <f t="shared" si="1"/>
        <v>2.0000000000000001E-10</v>
      </c>
      <c r="G22" s="43">
        <f t="shared" si="1"/>
        <v>3E-10</v>
      </c>
      <c r="H22" s="43">
        <f t="shared" si="1"/>
        <v>4.0000000000000001E-10</v>
      </c>
      <c r="I22" s="43">
        <f t="shared" si="1"/>
        <v>5.0000000000000003E-10</v>
      </c>
      <c r="J22" s="43">
        <f t="shared" si="1"/>
        <v>6E-10</v>
      </c>
      <c r="K22" s="43">
        <f t="shared" si="1"/>
        <v>6.9999999999999996E-10</v>
      </c>
      <c r="L22" s="51">
        <f t="shared" si="1"/>
        <v>8.0000000000000003E-10</v>
      </c>
      <c r="M22" s="51">
        <f t="shared" si="1"/>
        <v>8.9999999999999999E-10</v>
      </c>
      <c r="N22" s="43">
        <f t="shared" si="1"/>
        <v>9.5000000000000003E-10</v>
      </c>
      <c r="Q22" s="44" t="s">
        <v>437</v>
      </c>
      <c r="R22" s="57"/>
    </row>
    <row r="23" spans="1:19">
      <c r="A23" s="49" t="s">
        <v>235</v>
      </c>
      <c r="B23" s="49" t="s">
        <v>236</v>
      </c>
      <c r="C23" s="163" t="s">
        <v>214</v>
      </c>
      <c r="D23" s="49">
        <f>LARGE((E23:H23,J23:M23),1)+LARGE((E23:H23,J23:M23),2)+LARGE((E23:H23,J23:M23),3)+LARGE((E23:H23,J23:M23),4)+LARGE((E23:H23,J23:M23),5)</f>
        <v>3.3999999999999998E-9</v>
      </c>
      <c r="E23" s="43">
        <f t="shared" ref="E23:N23" si="2">C3</f>
        <v>1E-10</v>
      </c>
      <c r="F23" s="43">
        <f t="shared" si="2"/>
        <v>2.0000000000000001E-10</v>
      </c>
      <c r="G23" s="43">
        <f t="shared" si="2"/>
        <v>3E-10</v>
      </c>
      <c r="H23" s="43">
        <f t="shared" si="2"/>
        <v>4.0000000000000001E-10</v>
      </c>
      <c r="I23" s="43">
        <f t="shared" si="2"/>
        <v>5.0000000000000003E-10</v>
      </c>
      <c r="J23" s="43">
        <f t="shared" si="2"/>
        <v>6E-10</v>
      </c>
      <c r="K23" s="43">
        <f t="shared" si="2"/>
        <v>6.9999999999999996E-10</v>
      </c>
      <c r="L23" s="51">
        <f t="shared" si="2"/>
        <v>8.0000000000000003E-10</v>
      </c>
      <c r="M23" s="51">
        <f t="shared" si="2"/>
        <v>8.9999999999999999E-10</v>
      </c>
      <c r="N23" s="43">
        <f t="shared" si="2"/>
        <v>9.5000000000000003E-10</v>
      </c>
      <c r="P23" s="43">
        <f t="shared" ref="P23:P27" si="3">IF(Q23="無",0,1)</f>
        <v>0</v>
      </c>
      <c r="Q23" s="57" t="str">
        <f>IF(R23&gt;0,INDEX(P31:S31,MATCH(LARGE(P33:S33,1),P33:S33,0)),"無")</f>
        <v>無</v>
      </c>
      <c r="R23" s="57">
        <f>LARGE(P33:S33,1)</f>
        <v>0</v>
      </c>
    </row>
    <row r="24" spans="1:19" ht="16.5">
      <c r="A24" s="49" t="s">
        <v>237</v>
      </c>
      <c r="B24" s="49" t="s">
        <v>238</v>
      </c>
      <c r="C24" s="163" t="s">
        <v>214</v>
      </c>
      <c r="D24" s="49">
        <f>LARGE((E24:H24,J24:M24),1)+LARGE((E24:H24,J24:M24),2)+LARGE((E24:H24,J24:M24),3)+LARGE((E24:H24,J24:M24),4)+LARGE((E24:H24,J24:M24),5)</f>
        <v>3.3999999999999998E-9</v>
      </c>
      <c r="E24" s="43">
        <f t="shared" ref="E24:N24" si="4">C3</f>
        <v>1E-10</v>
      </c>
      <c r="F24" s="43">
        <f t="shared" si="4"/>
        <v>2.0000000000000001E-10</v>
      </c>
      <c r="G24" s="43">
        <f t="shared" si="4"/>
        <v>3E-10</v>
      </c>
      <c r="H24" s="43">
        <f t="shared" si="4"/>
        <v>4.0000000000000001E-10</v>
      </c>
      <c r="I24" s="43">
        <f t="shared" si="4"/>
        <v>5.0000000000000003E-10</v>
      </c>
      <c r="J24" s="43">
        <f t="shared" si="4"/>
        <v>6E-10</v>
      </c>
      <c r="K24" s="43">
        <f t="shared" si="4"/>
        <v>6.9999999999999996E-10</v>
      </c>
      <c r="L24" s="51">
        <f t="shared" si="4"/>
        <v>8.0000000000000003E-10</v>
      </c>
      <c r="M24" s="51">
        <f t="shared" si="4"/>
        <v>8.9999999999999999E-10</v>
      </c>
      <c r="N24" s="43">
        <f t="shared" si="4"/>
        <v>9.5000000000000003E-10</v>
      </c>
      <c r="Q24" s="44" t="s">
        <v>438</v>
      </c>
      <c r="R24" s="57"/>
    </row>
    <row r="25" spans="1:19">
      <c r="A25" s="49" t="s">
        <v>239</v>
      </c>
      <c r="B25" s="49" t="s">
        <v>240</v>
      </c>
      <c r="C25" s="163" t="s">
        <v>214</v>
      </c>
      <c r="D25" s="49">
        <f>LARGE((E25:H25,J25:M25),1)+LARGE((E25:H25,J25:M25),2)+LARGE((E25:H25,J25:M25),3)+LARGE((E25:H25,J25:M25),4)+LARGE((E25:H25,J25:M25),5)</f>
        <v>3.3999999999999998E-9</v>
      </c>
      <c r="E25" s="43">
        <f t="shared" ref="E25:N25" si="5">C3</f>
        <v>1E-10</v>
      </c>
      <c r="F25" s="43">
        <f t="shared" si="5"/>
        <v>2.0000000000000001E-10</v>
      </c>
      <c r="G25" s="43">
        <f t="shared" si="5"/>
        <v>3E-10</v>
      </c>
      <c r="H25" s="43">
        <f t="shared" si="5"/>
        <v>4.0000000000000001E-10</v>
      </c>
      <c r="I25" s="43">
        <f t="shared" si="5"/>
        <v>5.0000000000000003E-10</v>
      </c>
      <c r="J25" s="43">
        <f t="shared" si="5"/>
        <v>6E-10</v>
      </c>
      <c r="K25" s="43">
        <f t="shared" si="5"/>
        <v>6.9999999999999996E-10</v>
      </c>
      <c r="L25" s="51">
        <f t="shared" si="5"/>
        <v>8.0000000000000003E-10</v>
      </c>
      <c r="M25" s="51">
        <f t="shared" si="5"/>
        <v>8.9999999999999999E-10</v>
      </c>
      <c r="N25" s="43">
        <f t="shared" si="5"/>
        <v>9.5000000000000003E-10</v>
      </c>
      <c r="P25" s="43">
        <f t="shared" si="3"/>
        <v>0</v>
      </c>
      <c r="Q25" s="57" t="str">
        <f>IF(R25&gt;0,INDEX(P31:S31,MATCH(LARGE(P34:S34,1),P34:S34,0)),"無")</f>
        <v>無</v>
      </c>
      <c r="R25" s="57">
        <f>LARGE(P34:S34,1)</f>
        <v>0</v>
      </c>
    </row>
    <row r="26" spans="1:19" ht="16.5">
      <c r="A26" s="49" t="s">
        <v>241</v>
      </c>
      <c r="B26" s="49" t="s">
        <v>242</v>
      </c>
      <c r="C26" s="163" t="s">
        <v>214</v>
      </c>
      <c r="D26" s="49">
        <f>F26+LARGE((E26,G26:H26,J26:M26),1)+LARGE((E26,G26:H26,J26:M26),2)+LARGE((E26,G26:H26,J26:M26),3)+LARGE((E26,G26:H26,J26:M26),4)</f>
        <v>3.2000000000000001E-9</v>
      </c>
      <c r="E26" s="43">
        <f t="shared" ref="E26:N26" si="6">C3</f>
        <v>1E-10</v>
      </c>
      <c r="F26" s="43">
        <f t="shared" si="6"/>
        <v>2.0000000000000001E-10</v>
      </c>
      <c r="G26" s="43">
        <f t="shared" si="6"/>
        <v>3E-10</v>
      </c>
      <c r="H26" s="43">
        <f t="shared" si="6"/>
        <v>4.0000000000000001E-10</v>
      </c>
      <c r="I26" s="43">
        <f t="shared" si="6"/>
        <v>5.0000000000000003E-10</v>
      </c>
      <c r="J26" s="43">
        <f t="shared" si="6"/>
        <v>6E-10</v>
      </c>
      <c r="K26" s="43">
        <f t="shared" si="6"/>
        <v>6.9999999999999996E-10</v>
      </c>
      <c r="L26" s="51">
        <f t="shared" si="6"/>
        <v>8.0000000000000003E-10</v>
      </c>
      <c r="M26" s="51">
        <f t="shared" si="6"/>
        <v>8.9999999999999999E-10</v>
      </c>
      <c r="N26" s="43">
        <f t="shared" si="6"/>
        <v>9.5000000000000003E-10</v>
      </c>
      <c r="Q26" s="44" t="s">
        <v>440</v>
      </c>
    </row>
    <row r="27" spans="1:19">
      <c r="A27" s="49" t="s">
        <v>284</v>
      </c>
      <c r="B27" s="49" t="s">
        <v>285</v>
      </c>
      <c r="C27" s="163" t="s">
        <v>80</v>
      </c>
      <c r="D27" s="49">
        <f>F27+G27+LARGE((E27,H27:M27),1)+LARGE((E27,H27:M27),2)+LARGE((E27,H27:M27),3)+LARGE((E27,H27:M27),4)</f>
        <v>3.5000000000000003E-9</v>
      </c>
      <c r="E27" s="43">
        <f t="shared" ref="E27:N27" si="7">C3</f>
        <v>1E-10</v>
      </c>
      <c r="F27" s="43">
        <f t="shared" si="7"/>
        <v>2.0000000000000001E-10</v>
      </c>
      <c r="G27" s="43">
        <f t="shared" si="7"/>
        <v>3E-10</v>
      </c>
      <c r="H27" s="43">
        <f t="shared" si="7"/>
        <v>4.0000000000000001E-10</v>
      </c>
      <c r="I27" s="43">
        <f t="shared" si="7"/>
        <v>5.0000000000000003E-10</v>
      </c>
      <c r="J27" s="43">
        <f t="shared" si="7"/>
        <v>6E-10</v>
      </c>
      <c r="K27" s="43">
        <f t="shared" si="7"/>
        <v>6.9999999999999996E-10</v>
      </c>
      <c r="L27" s="51">
        <f t="shared" si="7"/>
        <v>8.0000000000000003E-10</v>
      </c>
      <c r="M27" s="51">
        <f t="shared" si="7"/>
        <v>8.9999999999999999E-10</v>
      </c>
      <c r="N27" s="43">
        <f t="shared" si="7"/>
        <v>9.5000000000000003E-10</v>
      </c>
      <c r="P27" s="43">
        <f t="shared" si="3"/>
        <v>0</v>
      </c>
      <c r="Q27" s="43" t="str">
        <f>IF(R27&gt;0,INDEX(P31:S31,MATCH(LARGE(P35:S35,1),P35:S35,0)),"無")</f>
        <v>無</v>
      </c>
      <c r="R27" s="57">
        <f>LARGE(P35:S35,1)</f>
        <v>0</v>
      </c>
    </row>
    <row r="28" spans="1:19" ht="16.5">
      <c r="A28" s="49" t="s">
        <v>286</v>
      </c>
      <c r="B28" s="49" t="s">
        <v>287</v>
      </c>
      <c r="C28" s="163" t="s">
        <v>428</v>
      </c>
      <c r="D28" s="49">
        <f>IF($G$3&gt;($E$3+1),SUM(E28:F28,H28:I28)+LARGE(J28:M28,1)+LARGE(J28:M28,2),SUM(E28:H28)+LARGE(I28:M28,1)+LARGE(I28:M28,2))</f>
        <v>2.7000000000000002E-9</v>
      </c>
      <c r="E28" s="43">
        <f t="shared" ref="E28:N28" si="8">C3</f>
        <v>1E-10</v>
      </c>
      <c r="F28" s="43">
        <f t="shared" si="8"/>
        <v>2.0000000000000001E-10</v>
      </c>
      <c r="G28" s="43">
        <f t="shared" si="8"/>
        <v>3E-10</v>
      </c>
      <c r="H28" s="43">
        <f t="shared" si="8"/>
        <v>4.0000000000000001E-10</v>
      </c>
      <c r="I28" s="43">
        <f t="shared" si="8"/>
        <v>5.0000000000000003E-10</v>
      </c>
      <c r="J28" s="43">
        <f t="shared" si="8"/>
        <v>6E-10</v>
      </c>
      <c r="K28" s="43">
        <f t="shared" si="8"/>
        <v>6.9999999999999996E-10</v>
      </c>
      <c r="L28" s="51">
        <f t="shared" si="8"/>
        <v>8.0000000000000003E-10</v>
      </c>
      <c r="M28" s="51">
        <f t="shared" si="8"/>
        <v>8.9999999999999999E-10</v>
      </c>
      <c r="N28" s="43">
        <f t="shared" si="8"/>
        <v>9.5000000000000003E-10</v>
      </c>
      <c r="Q28" s="44" t="s">
        <v>441</v>
      </c>
      <c r="R28" s="57"/>
    </row>
    <row r="29" spans="1:19">
      <c r="A29" s="49" t="s">
        <v>288</v>
      </c>
      <c r="B29" s="49" t="s">
        <v>289</v>
      </c>
      <c r="C29" s="163" t="s">
        <v>428</v>
      </c>
      <c r="D29" s="49">
        <f>SUM(E29:H29)+LARGE(I29:M29,1)+LARGE(I29:M29,2)</f>
        <v>2.7000000000000002E-9</v>
      </c>
      <c r="E29" s="43">
        <f t="shared" ref="E29:N29" si="9">C3</f>
        <v>1E-10</v>
      </c>
      <c r="F29" s="43">
        <f t="shared" si="9"/>
        <v>2.0000000000000001E-10</v>
      </c>
      <c r="G29" s="43">
        <f t="shared" si="9"/>
        <v>3E-10</v>
      </c>
      <c r="H29" s="43">
        <f t="shared" si="9"/>
        <v>4.0000000000000001E-10</v>
      </c>
      <c r="I29" s="43">
        <f t="shared" si="9"/>
        <v>5.0000000000000003E-10</v>
      </c>
      <c r="J29" s="43">
        <f t="shared" si="9"/>
        <v>6E-10</v>
      </c>
      <c r="K29" s="43">
        <f t="shared" si="9"/>
        <v>6.9999999999999996E-10</v>
      </c>
      <c r="L29" s="51">
        <f t="shared" si="9"/>
        <v>8.0000000000000003E-10</v>
      </c>
      <c r="M29" s="51">
        <f t="shared" si="9"/>
        <v>8.9999999999999999E-10</v>
      </c>
      <c r="N29" s="43">
        <f t="shared" si="9"/>
        <v>9.5000000000000003E-10</v>
      </c>
      <c r="P29" s="43">
        <f>IF(Q29="無",0,1)</f>
        <v>0</v>
      </c>
      <c r="Q29" s="43" t="str">
        <f>IF(R29&gt;0,INDEX(P31:S31,MATCH(LARGE(P36:S36,1),P36:S36,0)),"無")</f>
        <v>無</v>
      </c>
      <c r="R29" s="57">
        <f>LARGE(P36:S36,1)</f>
        <v>0</v>
      </c>
    </row>
    <row r="30" spans="1:19">
      <c r="A30" s="49" t="s">
        <v>290</v>
      </c>
      <c r="B30" s="49" t="s">
        <v>291</v>
      </c>
      <c r="C30" s="163" t="s">
        <v>428</v>
      </c>
      <c r="D30" s="49">
        <f>IF($G$3&gt;($E$3+1),SUM(E30:F30,H30:I30)+LARGE(J30:M30,1)+LARGE(J30:M30,2),SUM(E30:H30)+LARGE(I30:M30,1)+LARGE(I30:M30,2))</f>
        <v>2.7000000000000002E-9</v>
      </c>
      <c r="E30" s="43">
        <f t="shared" ref="E30:N30" si="10">C3</f>
        <v>1E-10</v>
      </c>
      <c r="F30" s="43">
        <f t="shared" si="10"/>
        <v>2.0000000000000001E-10</v>
      </c>
      <c r="G30" s="43">
        <f t="shared" si="10"/>
        <v>3E-10</v>
      </c>
      <c r="H30" s="43">
        <f t="shared" si="10"/>
        <v>4.0000000000000001E-10</v>
      </c>
      <c r="I30" s="43">
        <f t="shared" si="10"/>
        <v>5.0000000000000003E-10</v>
      </c>
      <c r="J30" s="43">
        <f t="shared" si="10"/>
        <v>6E-10</v>
      </c>
      <c r="K30" s="43">
        <f t="shared" si="10"/>
        <v>6.9999999999999996E-10</v>
      </c>
      <c r="L30" s="51">
        <f t="shared" si="10"/>
        <v>8.0000000000000003E-10</v>
      </c>
      <c r="M30" s="51">
        <f t="shared" si="10"/>
        <v>8.9999999999999999E-10</v>
      </c>
      <c r="N30" s="43">
        <f t="shared" si="10"/>
        <v>9.5000000000000003E-10</v>
      </c>
    </row>
    <row r="31" spans="1:19">
      <c r="A31" s="49" t="s">
        <v>296</v>
      </c>
      <c r="B31" s="49" t="s">
        <v>297</v>
      </c>
      <c r="C31" s="163" t="s">
        <v>80</v>
      </c>
      <c r="D31" s="49">
        <f>IF($G$3&gt;($E$3+1),F31+I31+LARGE((E31,G31:H31,J31:M31),1)+LARGE((E31,G31:H31,J31:M31),2)+LARGE((E31,G31:H31,J31:M31),3)+LARGE((E31,G31:H31,J31:M31),4),F31+G31+LARGE((E31,H31:M31),1)+LARGE((E31,H31:M31),2)+LARGE((E31,H31:M31),3)+LARGE((E31,H31:M31),4))</f>
        <v>3.5000000000000003E-9</v>
      </c>
      <c r="E31" s="43">
        <f t="shared" ref="E31:N31" si="11">C3</f>
        <v>1E-10</v>
      </c>
      <c r="F31" s="43">
        <f t="shared" si="11"/>
        <v>2.0000000000000001E-10</v>
      </c>
      <c r="G31" s="43">
        <f t="shared" si="11"/>
        <v>3E-10</v>
      </c>
      <c r="H31" s="43">
        <f t="shared" si="11"/>
        <v>4.0000000000000001E-10</v>
      </c>
      <c r="I31" s="43">
        <f t="shared" si="11"/>
        <v>5.0000000000000003E-10</v>
      </c>
      <c r="J31" s="43">
        <f t="shared" si="11"/>
        <v>6E-10</v>
      </c>
      <c r="K31" s="43">
        <f t="shared" si="11"/>
        <v>6.9999999999999996E-10</v>
      </c>
      <c r="L31" s="51">
        <f t="shared" si="11"/>
        <v>8.0000000000000003E-10</v>
      </c>
      <c r="M31" s="51">
        <f t="shared" si="11"/>
        <v>8.9999999999999999E-10</v>
      </c>
      <c r="N31" s="43">
        <f t="shared" si="11"/>
        <v>9.5000000000000003E-10</v>
      </c>
      <c r="P31" s="43" t="str">
        <f>H1</f>
        <v>請選擇第一選修科</v>
      </c>
      <c r="Q31" s="43" t="str">
        <f>I1</f>
        <v>請選擇第二選修科</v>
      </c>
      <c r="R31" s="43" t="str">
        <f>J1</f>
        <v>請選擇第三選修科</v>
      </c>
      <c r="S31" s="43" t="str">
        <f>K1</f>
        <v>請選擇第四選修科</v>
      </c>
    </row>
    <row r="32" spans="1:19">
      <c r="A32" s="49" t="s">
        <v>298</v>
      </c>
      <c r="B32" s="49" t="s">
        <v>299</v>
      </c>
      <c r="C32" s="163" t="s">
        <v>80</v>
      </c>
      <c r="D32" s="49">
        <f>F32+G32+I32+LARGE((E32,H32,J32:M32),1)+LARGE((E32,H32,J32:M32),2)+LARGE((E32,H32,J32:M32),3)</f>
        <v>3.4000000000000003E-9</v>
      </c>
      <c r="E32" s="43">
        <f t="shared" ref="E32:N32" si="12">C3</f>
        <v>1E-10</v>
      </c>
      <c r="F32" s="43">
        <f t="shared" si="12"/>
        <v>2.0000000000000001E-10</v>
      </c>
      <c r="G32" s="43">
        <f t="shared" si="12"/>
        <v>3E-10</v>
      </c>
      <c r="H32" s="43">
        <f t="shared" si="12"/>
        <v>4.0000000000000001E-10</v>
      </c>
      <c r="I32" s="43">
        <f t="shared" si="12"/>
        <v>5.0000000000000003E-10</v>
      </c>
      <c r="J32" s="43">
        <f t="shared" si="12"/>
        <v>6E-10</v>
      </c>
      <c r="K32" s="43">
        <f t="shared" si="12"/>
        <v>6.9999999999999996E-10</v>
      </c>
      <c r="L32" s="51">
        <f t="shared" si="12"/>
        <v>8.0000000000000003E-10</v>
      </c>
      <c r="M32" s="51">
        <f t="shared" si="12"/>
        <v>8.9999999999999999E-10</v>
      </c>
      <c r="N32" s="43">
        <f t="shared" si="12"/>
        <v>9.5000000000000003E-10</v>
      </c>
      <c r="P32" s="43">
        <f>IF(OR(H1="物理",H1="化學",H1="生物",H1="組合科學 (物理、化學)",H1="組合科學 (物理、生物)",H1="組合科學 (生物、化學)"),H4,0)</f>
        <v>0</v>
      </c>
      <c r="Q32" s="43">
        <f>IF(OR(I1="物理",I1="化學",I1="生物",I1="組合科學 (物理、化學)",I1="組合科學 (物理、生物)",I1="組合科學 (生物、化學)"),I4,0)</f>
        <v>0</v>
      </c>
      <c r="R32" s="43">
        <f>IF(OR(J1="物理",J1="化學",J1="生物",J1="組合科學 (物理、化學)",J1="組合科學 (物理、生物)",J1="組合科學 (生物、化學)"),J4,0)</f>
        <v>0</v>
      </c>
      <c r="S32" s="43">
        <f>IF(OR(K1="物理",K1="化學",K1="生物",K1="組合科學 (物理、化學)",K1="組合科學 (物理、生物)",K1="組合科學 (生物、化學)"),K4,0)</f>
        <v>0</v>
      </c>
    </row>
    <row r="33" spans="1:19">
      <c r="A33" s="49" t="s">
        <v>300</v>
      </c>
      <c r="B33" s="49" t="s">
        <v>433</v>
      </c>
      <c r="C33" s="163" t="s">
        <v>220</v>
      </c>
      <c r="D33" s="49">
        <f>IF($G$3&gt;($E$3+1),SUM(E33:F33,H33:I33)+LARGE(J33:M33,1)+LARGE(J33:M33,2),SUM(E33:H33)+LARGE(I33:M33,1)+LARGE(I33:M33,2))</f>
        <v>2.7000000000000002E-9</v>
      </c>
      <c r="E33" s="43">
        <f t="shared" ref="E33:N33" si="13">C3</f>
        <v>1E-10</v>
      </c>
      <c r="F33" s="43">
        <f t="shared" si="13"/>
        <v>2.0000000000000001E-10</v>
      </c>
      <c r="G33" s="43">
        <f t="shared" si="13"/>
        <v>3E-10</v>
      </c>
      <c r="H33" s="43">
        <f t="shared" si="13"/>
        <v>4.0000000000000001E-10</v>
      </c>
      <c r="I33" s="43">
        <f t="shared" si="13"/>
        <v>5.0000000000000003E-10</v>
      </c>
      <c r="J33" s="43">
        <f t="shared" si="13"/>
        <v>6E-10</v>
      </c>
      <c r="K33" s="43">
        <f t="shared" si="13"/>
        <v>6.9999999999999996E-10</v>
      </c>
      <c r="L33" s="51">
        <f t="shared" si="13"/>
        <v>8.0000000000000003E-10</v>
      </c>
      <c r="M33" s="51">
        <f t="shared" si="13"/>
        <v>8.9999999999999999E-10</v>
      </c>
      <c r="N33" s="43">
        <f t="shared" si="13"/>
        <v>9.5000000000000003E-10</v>
      </c>
      <c r="P33" s="43">
        <f>IF(OR(H1="物理",H1="化學",H1="生物",H1="組合科學 (物理、化學)",H1="組合科學 (物理、生物)",H1="組合科學 (生物、化學)",H1="綜合科學"),H4,0)</f>
        <v>0</v>
      </c>
      <c r="Q33" s="43">
        <f>IF(OR(I1="物理",I1="化學",I1="生物",I1="組合科學 (物理、化學)",I1="組合科學 (物理、生物)",I1="組合科學 (生物、化學)",I1="綜合科學"),I4,0)</f>
        <v>0</v>
      </c>
      <c r="R33" s="43">
        <f>IF(OR(J1="物理",J1="化學",J1="生物",J1="組合科學 (物理、化學)",J1="組合科學 (物理、生物)",J1="組合科學 (生物、化學)",J1="綜合科學"),J4,0)</f>
        <v>0</v>
      </c>
      <c r="S33" s="43">
        <f>IF(OR(K1="物理",K1="化學",K1="生物",K1="組合科學 (物理、化學)",K1="組合科學 (物理、生物)",K1="組合科學 (生物、化學)",K1="綜合科學"),K4,0)</f>
        <v>0</v>
      </c>
    </row>
    <row r="34" spans="1:19">
      <c r="A34" s="49" t="s">
        <v>306</v>
      </c>
      <c r="B34" s="49" t="s">
        <v>307</v>
      </c>
      <c r="C34" s="163" t="s">
        <v>82</v>
      </c>
      <c r="D34" s="49">
        <f>F34+G34+LARGE((E34,H34:N34),1)+LARGE((E34,H34:N34),2)+LARGE((E34,H34:N34),3)</f>
        <v>3.1500000000000005E-9</v>
      </c>
      <c r="E34" s="43">
        <f t="shared" ref="E34:N34" si="14">C3</f>
        <v>1E-10</v>
      </c>
      <c r="F34" s="43">
        <f t="shared" si="14"/>
        <v>2.0000000000000001E-10</v>
      </c>
      <c r="G34" s="43">
        <f t="shared" si="14"/>
        <v>3E-10</v>
      </c>
      <c r="H34" s="43">
        <f t="shared" si="14"/>
        <v>4.0000000000000001E-10</v>
      </c>
      <c r="I34" s="43">
        <f t="shared" si="14"/>
        <v>5.0000000000000003E-10</v>
      </c>
      <c r="J34" s="43">
        <f t="shared" si="14"/>
        <v>6E-10</v>
      </c>
      <c r="K34" s="43">
        <f t="shared" si="14"/>
        <v>6.9999999999999996E-10</v>
      </c>
      <c r="L34" s="51">
        <f t="shared" si="14"/>
        <v>8.0000000000000003E-10</v>
      </c>
      <c r="M34" s="51">
        <f t="shared" si="14"/>
        <v>8.9999999999999999E-10</v>
      </c>
      <c r="N34" s="43">
        <f t="shared" si="14"/>
        <v>9.5000000000000003E-10</v>
      </c>
      <c r="P34" s="43">
        <f>IF(OR(H1="物理",H1="化學",H1="生物",H1="組合科學 (物理、化學)",H1="組合科學 (物理、生物)",H1="組合科學 (生物、化學)",H1="綜合科學",H1="資訊及通訊科技"),H4,0)</f>
        <v>0</v>
      </c>
      <c r="Q34" s="43">
        <f>IF(OR(I1="物理",I1="化學",I1="生物",I1="組合科學 (物理、化學)",I1="組合科學 (物理、生物)",I1="組合科學 (生物、化學)",I1="綜合科學",I1="資訊及通訊科技"),I4,0)</f>
        <v>0</v>
      </c>
      <c r="R34" s="43">
        <f>IF(OR(J1="物理",J1="化學",J1="生物",J1="組合科學 (物理、化學)",J1="組合科學 (物理、生物)",J1="組合科學 (生物、化學)",J1="綜合科學",J1="資訊及通訊科技"),J4,0)</f>
        <v>0</v>
      </c>
      <c r="S34" s="43">
        <f>IF(OR(K1="物理",K1="化學",K1="生物",K1="組合科學 (物理、化學)",K1="組合科學 (物理、生物)",K1="組合科學 (生物、化學)",K1="綜合科學",K1="資訊及通訊科技"),K4,0)</f>
        <v>0</v>
      </c>
    </row>
    <row r="35" spans="1:19">
      <c r="A35" s="49" t="s">
        <v>251</v>
      </c>
      <c r="B35" s="49" t="s">
        <v>252</v>
      </c>
      <c r="C35" s="163" t="s">
        <v>80</v>
      </c>
      <c r="D35" s="49">
        <f>R21+LARGE((E35:H35,J35:M35),1)+LARGE((E35:H35,J35:M35),2)+LARGE((E35:H35,J35:M35),3)+LARGE((E35:H35,J35:M35),4)+LARGE((E35:H35,J35:M35),5)</f>
        <v>3.3999999999999998E-9</v>
      </c>
      <c r="E35" s="43">
        <f>C3</f>
        <v>1E-10</v>
      </c>
      <c r="F35" s="43">
        <f>D3</f>
        <v>2.0000000000000001E-10</v>
      </c>
      <c r="G35" s="43">
        <f>E3</f>
        <v>3E-10</v>
      </c>
      <c r="H35" s="43">
        <f>F3</f>
        <v>4.0000000000000001E-10</v>
      </c>
      <c r="I35" s="43">
        <f>G3</f>
        <v>5.0000000000000003E-10</v>
      </c>
      <c r="J35" s="43">
        <f>IF(H1=$Q$21,0,H3)</f>
        <v>6E-10</v>
      </c>
      <c r="K35" s="43">
        <f>IF(I1=$Q$21,0,I3)</f>
        <v>6.9999999999999996E-10</v>
      </c>
      <c r="L35" s="51">
        <f>IF(J1=$Q$21,0,J3)</f>
        <v>8.0000000000000003E-10</v>
      </c>
      <c r="M35" s="51">
        <f>IF(K1=$Q$21,0,K3)</f>
        <v>8.9999999999999999E-10</v>
      </c>
      <c r="N35" s="43">
        <f>L3</f>
        <v>9.5000000000000003E-10</v>
      </c>
      <c r="P35" s="43">
        <f>IF(OR(H1="物理",H1="組合科學 (物理、化學)",H1="組合科學 (物理、生物)"),H4,0)</f>
        <v>0</v>
      </c>
      <c r="Q35" s="43">
        <f>IF(OR(I1="物理",I1="組合科學 (物理、化學)",I1="組合科學 (物理、生物)"),I4,0)</f>
        <v>0</v>
      </c>
      <c r="R35" s="43">
        <f>IF(OR(J1="物理",J1="組合科學 (物理、化學)",J1="組合科學 (物理、生物)"),J4,0)</f>
        <v>0</v>
      </c>
      <c r="S35" s="43">
        <f>IF(OR(K1="物理",K1="組合科學 (物理、化學)",K1="組合科學 (物理、生物)"),K4,0)</f>
        <v>0</v>
      </c>
    </row>
    <row r="36" spans="1:19">
      <c r="A36" s="49" t="s">
        <v>243</v>
      </c>
      <c r="B36" s="49" t="s">
        <v>244</v>
      </c>
      <c r="C36" s="163" t="s">
        <v>214</v>
      </c>
      <c r="D36" s="49">
        <f>F36+H36+LARGE((E36,G36,J36:M36),1)+LARGE((E36,G36,J36:M36),2)+LARGE((E36,G36,J36:M36),3)</f>
        <v>3E-9</v>
      </c>
      <c r="E36" s="43">
        <f t="shared" ref="E36:N36" si="15">C3</f>
        <v>1E-10</v>
      </c>
      <c r="F36" s="43">
        <f t="shared" si="15"/>
        <v>2.0000000000000001E-10</v>
      </c>
      <c r="G36" s="43">
        <f t="shared" si="15"/>
        <v>3E-10</v>
      </c>
      <c r="H36" s="43">
        <f t="shared" si="15"/>
        <v>4.0000000000000001E-10</v>
      </c>
      <c r="I36" s="43">
        <f t="shared" si="15"/>
        <v>5.0000000000000003E-10</v>
      </c>
      <c r="J36" s="43">
        <f t="shared" si="15"/>
        <v>6E-10</v>
      </c>
      <c r="K36" s="43">
        <f t="shared" si="15"/>
        <v>6.9999999999999996E-10</v>
      </c>
      <c r="L36" s="51">
        <f t="shared" si="15"/>
        <v>8.0000000000000003E-10</v>
      </c>
      <c r="M36" s="51">
        <f t="shared" si="15"/>
        <v>8.9999999999999999E-10</v>
      </c>
      <c r="N36" s="43">
        <f t="shared" si="15"/>
        <v>9.5000000000000003E-10</v>
      </c>
      <c r="P36" s="43">
        <f>IF(OR(H1="化學",H1="組合科學 (物理、化學)",H1="組合科學 (生物、化學)"),H4,0)</f>
        <v>0</v>
      </c>
      <c r="Q36" s="43">
        <f>IF(OR(I1="化學",I1="組合科學 (物理、化學)",I1="組合科學 (生物、化學)"),I4,0)</f>
        <v>0</v>
      </c>
      <c r="R36" s="43">
        <f>IF(OR(J1="化學",J1="組合科學 (物理、化學)",J1="組合科學 (生物、化學)"),J4,0)</f>
        <v>0</v>
      </c>
      <c r="S36" s="43">
        <f>IF(OR(K1="化學",K1="組合科學 (物理、化學)",K1="組合科學 (生物、化學)"),K4,0)</f>
        <v>0</v>
      </c>
    </row>
    <row r="37" spans="1:19">
      <c r="A37" s="49" t="s">
        <v>247</v>
      </c>
      <c r="B37" s="49" t="s">
        <v>248</v>
      </c>
      <c r="C37" s="163" t="s">
        <v>214</v>
      </c>
      <c r="D37" s="49">
        <f>E37+H37+LARGE((F37:G37,J37:M37),1)+LARGE((F37:G37,J37:M37),2)+LARGE((F37:G37,J37:M37),3)</f>
        <v>2.9000000000000003E-9</v>
      </c>
      <c r="E37" s="43">
        <f t="shared" ref="E37:N37" si="16">C3</f>
        <v>1E-10</v>
      </c>
      <c r="F37" s="43">
        <f t="shared" si="16"/>
        <v>2.0000000000000001E-10</v>
      </c>
      <c r="G37" s="43">
        <f t="shared" si="16"/>
        <v>3E-10</v>
      </c>
      <c r="H37" s="43">
        <f t="shared" si="16"/>
        <v>4.0000000000000001E-10</v>
      </c>
      <c r="I37" s="43">
        <f t="shared" si="16"/>
        <v>5.0000000000000003E-10</v>
      </c>
      <c r="J37" s="43">
        <f t="shared" si="16"/>
        <v>6E-10</v>
      </c>
      <c r="K37" s="43">
        <f t="shared" si="16"/>
        <v>6.9999999999999996E-10</v>
      </c>
      <c r="L37" s="51">
        <f t="shared" si="16"/>
        <v>8.0000000000000003E-10</v>
      </c>
      <c r="M37" s="51">
        <f t="shared" si="16"/>
        <v>8.9999999999999999E-10</v>
      </c>
      <c r="N37" s="43">
        <f t="shared" si="16"/>
        <v>9.5000000000000003E-10</v>
      </c>
      <c r="P37" s="43">
        <f>IF(OR(H1="化學",H1="生物"),H4,0)</f>
        <v>0</v>
      </c>
      <c r="Q37" s="43">
        <f>IF(OR(I1="化學",I1="生物"),I4,0)</f>
        <v>0</v>
      </c>
      <c r="R37" s="43">
        <f>IF(OR(J1="化學",J1="生物"),J4,0)</f>
        <v>0</v>
      </c>
      <c r="S37" s="43">
        <f>IF(OR(K1="化學",K1="生物"),K4,0)</f>
        <v>0</v>
      </c>
    </row>
    <row r="38" spans="1:19">
      <c r="A38" s="49" t="s">
        <v>249</v>
      </c>
      <c r="B38" s="49" t="s">
        <v>250</v>
      </c>
      <c r="C38" s="163" t="s">
        <v>214</v>
      </c>
      <c r="D38" s="49">
        <f>E38+F38+LARGE((G38:H38,J38:M38),1)+LARGE((G38:H38,J38:M38),2)+LARGE((G38:H38,J38:M38),3)</f>
        <v>2.7000000000000002E-9</v>
      </c>
      <c r="E38" s="43">
        <f t="shared" ref="E38:N38" si="17">C3</f>
        <v>1E-10</v>
      </c>
      <c r="F38" s="43">
        <f t="shared" si="17"/>
        <v>2.0000000000000001E-10</v>
      </c>
      <c r="G38" s="43">
        <f t="shared" si="17"/>
        <v>3E-10</v>
      </c>
      <c r="H38" s="43">
        <f t="shared" si="17"/>
        <v>4.0000000000000001E-10</v>
      </c>
      <c r="I38" s="43">
        <f t="shared" si="17"/>
        <v>5.0000000000000003E-10</v>
      </c>
      <c r="J38" s="43">
        <f t="shared" si="17"/>
        <v>6E-10</v>
      </c>
      <c r="K38" s="43">
        <f t="shared" si="17"/>
        <v>6.9999999999999996E-10</v>
      </c>
      <c r="L38" s="51">
        <f t="shared" si="17"/>
        <v>8.0000000000000003E-10</v>
      </c>
      <c r="M38" s="51">
        <f t="shared" si="17"/>
        <v>8.9999999999999999E-10</v>
      </c>
      <c r="N38" s="43">
        <f t="shared" si="17"/>
        <v>9.5000000000000003E-10</v>
      </c>
    </row>
    <row r="39" spans="1:19">
      <c r="A39" s="49" t="s">
        <v>253</v>
      </c>
      <c r="B39" s="49" t="s">
        <v>254</v>
      </c>
      <c r="C39" s="163" t="s">
        <v>214</v>
      </c>
      <c r="D39" s="49">
        <f>F39+G39+$R$23+LARGE((E39,H39:M39),1)+LARGE((E39,H39:M39),2)</f>
        <v>2.2000000000000003E-9</v>
      </c>
      <c r="E39" s="43">
        <f>C3</f>
        <v>1E-10</v>
      </c>
      <c r="F39" s="43">
        <f>D3</f>
        <v>2.0000000000000001E-10</v>
      </c>
      <c r="G39" s="43">
        <f>E3</f>
        <v>3E-10</v>
      </c>
      <c r="H39" s="43">
        <f>F3</f>
        <v>4.0000000000000001E-10</v>
      </c>
      <c r="I39" s="43">
        <f>G3</f>
        <v>5.0000000000000003E-10</v>
      </c>
      <c r="J39" s="43">
        <f>IF(H1=$Q$23,0,H3)</f>
        <v>6E-10</v>
      </c>
      <c r="K39" s="43">
        <f>IF(I1=$Q$23,0,I3)</f>
        <v>6.9999999999999996E-10</v>
      </c>
      <c r="L39" s="43">
        <f>IF(J1=$Q$23,0,J3)</f>
        <v>8.0000000000000003E-10</v>
      </c>
      <c r="M39" s="43">
        <f>IF(K1=$Q$23,0,K3)</f>
        <v>8.9999999999999999E-10</v>
      </c>
      <c r="N39" s="43">
        <f>L3</f>
        <v>9.5000000000000003E-10</v>
      </c>
    </row>
    <row r="40" spans="1:19">
      <c r="A40" s="49" t="s">
        <v>255</v>
      </c>
      <c r="B40" s="49" t="s">
        <v>256</v>
      </c>
      <c r="C40" s="163" t="s">
        <v>80</v>
      </c>
      <c r="D40" s="49">
        <f>LARGE((E40:H40,J40:M40),1)+LARGE((E40:H40,J40:M40),2)+LARGE((E40:H40,J40:M40),3)+LARGE((E40:H40,J40:M40),4)+LARGE((E40:H40,J40:M40),5)+LARGE((E40:H40,J40:M40),6)</f>
        <v>3.7E-9</v>
      </c>
      <c r="E40" s="43">
        <f t="shared" ref="E40:N40" si="18">C3</f>
        <v>1E-10</v>
      </c>
      <c r="F40" s="43">
        <f t="shared" si="18"/>
        <v>2.0000000000000001E-10</v>
      </c>
      <c r="G40" s="43">
        <f t="shared" si="18"/>
        <v>3E-10</v>
      </c>
      <c r="H40" s="43">
        <f t="shared" si="18"/>
        <v>4.0000000000000001E-10</v>
      </c>
      <c r="I40" s="43">
        <f t="shared" si="18"/>
        <v>5.0000000000000003E-10</v>
      </c>
      <c r="J40" s="43">
        <f t="shared" si="18"/>
        <v>6E-10</v>
      </c>
      <c r="K40" s="43">
        <f t="shared" si="18"/>
        <v>6.9999999999999996E-10</v>
      </c>
      <c r="L40" s="51">
        <f t="shared" si="18"/>
        <v>8.0000000000000003E-10</v>
      </c>
      <c r="M40" s="51">
        <f t="shared" si="18"/>
        <v>8.9999999999999999E-10</v>
      </c>
      <c r="N40" s="43">
        <f t="shared" si="18"/>
        <v>9.5000000000000003E-10</v>
      </c>
    </row>
    <row r="41" spans="1:19">
      <c r="A41" s="49" t="s">
        <v>257</v>
      </c>
      <c r="B41" s="49" t="s">
        <v>258</v>
      </c>
      <c r="C41" s="163" t="s">
        <v>214</v>
      </c>
      <c r="D41" s="49">
        <f>LARGE((E41:H41,J41:N41),1)+LARGE((E41:H41,J41:N41),2)+LARGE((E41:H41,J41:N41),3)+LARGE((E41:H41,J41:N41),4)+LARGE((E41:H41,J41:N41),5)</f>
        <v>3.9500000000000006E-9</v>
      </c>
      <c r="E41" s="43">
        <f t="shared" ref="E41:N41" si="19">C3</f>
        <v>1E-10</v>
      </c>
      <c r="F41" s="43">
        <f t="shared" si="19"/>
        <v>2.0000000000000001E-10</v>
      </c>
      <c r="G41" s="43">
        <f t="shared" si="19"/>
        <v>3E-10</v>
      </c>
      <c r="H41" s="43">
        <f t="shared" si="19"/>
        <v>4.0000000000000001E-10</v>
      </c>
      <c r="I41" s="43">
        <f t="shared" si="19"/>
        <v>5.0000000000000003E-10</v>
      </c>
      <c r="J41" s="43">
        <f t="shared" si="19"/>
        <v>6E-10</v>
      </c>
      <c r="K41" s="43">
        <f t="shared" si="19"/>
        <v>6.9999999999999996E-10</v>
      </c>
      <c r="L41" s="51">
        <f t="shared" si="19"/>
        <v>8.0000000000000003E-10</v>
      </c>
      <c r="M41" s="51">
        <f t="shared" si="19"/>
        <v>8.9999999999999999E-10</v>
      </c>
      <c r="N41" s="43">
        <f t="shared" si="19"/>
        <v>9.5000000000000003E-10</v>
      </c>
    </row>
    <row r="42" spans="1:19">
      <c r="A42" s="49" t="s">
        <v>304</v>
      </c>
      <c r="B42" s="49" t="s">
        <v>305</v>
      </c>
      <c r="C42" s="163" t="s">
        <v>214</v>
      </c>
      <c r="D42" s="49">
        <f>F42+G42+LARGE((E42,H42:N42),1)+LARGE((E42,H42:N42),2)+LARGE((E42,H42:N42),3)</f>
        <v>3.1500000000000005E-9</v>
      </c>
      <c r="E42" s="43">
        <f t="shared" ref="E42:N42" si="20">C3</f>
        <v>1E-10</v>
      </c>
      <c r="F42" s="43">
        <f t="shared" si="20"/>
        <v>2.0000000000000001E-10</v>
      </c>
      <c r="G42" s="43">
        <f t="shared" si="20"/>
        <v>3E-10</v>
      </c>
      <c r="H42" s="43">
        <f t="shared" si="20"/>
        <v>4.0000000000000001E-10</v>
      </c>
      <c r="I42" s="43">
        <f t="shared" si="20"/>
        <v>5.0000000000000003E-10</v>
      </c>
      <c r="J42" s="43">
        <f t="shared" si="20"/>
        <v>6E-10</v>
      </c>
      <c r="K42" s="43">
        <f t="shared" si="20"/>
        <v>6.9999999999999996E-10</v>
      </c>
      <c r="L42" s="51">
        <f t="shared" si="20"/>
        <v>8.0000000000000003E-10</v>
      </c>
      <c r="M42" s="51">
        <f t="shared" si="20"/>
        <v>8.9999999999999999E-10</v>
      </c>
      <c r="N42" s="43">
        <f t="shared" si="20"/>
        <v>9.5000000000000003E-10</v>
      </c>
    </row>
    <row r="43" spans="1:19">
      <c r="A43" s="49" t="s">
        <v>310</v>
      </c>
      <c r="B43" s="49" t="s">
        <v>311</v>
      </c>
      <c r="C43" s="163" t="s">
        <v>214</v>
      </c>
      <c r="D43" s="49">
        <f>F43+G43+LARGE((E43,H43:N43),1)+LARGE((E43,H43:N43),2)+LARGE((E43,H43:N43),3)</f>
        <v>3.1500000000000005E-9</v>
      </c>
      <c r="E43" s="43">
        <f t="shared" ref="E43:N43" si="21">C3</f>
        <v>1E-10</v>
      </c>
      <c r="F43" s="43">
        <f t="shared" si="21"/>
        <v>2.0000000000000001E-10</v>
      </c>
      <c r="G43" s="43">
        <f t="shared" si="21"/>
        <v>3E-10</v>
      </c>
      <c r="H43" s="43">
        <f t="shared" si="21"/>
        <v>4.0000000000000001E-10</v>
      </c>
      <c r="I43" s="43">
        <f t="shared" si="21"/>
        <v>5.0000000000000003E-10</v>
      </c>
      <c r="J43" s="43">
        <f t="shared" si="21"/>
        <v>6E-10</v>
      </c>
      <c r="K43" s="43">
        <f t="shared" si="21"/>
        <v>6.9999999999999996E-10</v>
      </c>
      <c r="L43" s="51">
        <f t="shared" si="21"/>
        <v>8.0000000000000003E-10</v>
      </c>
      <c r="M43" s="51">
        <f t="shared" si="21"/>
        <v>8.9999999999999999E-10</v>
      </c>
      <c r="N43" s="43">
        <f t="shared" si="21"/>
        <v>9.5000000000000003E-10</v>
      </c>
    </row>
    <row r="44" spans="1:19" ht="16.5">
      <c r="A44" s="49" t="s">
        <v>312</v>
      </c>
      <c r="B44" s="49" t="s">
        <v>313</v>
      </c>
      <c r="C44" s="163" t="s">
        <v>214</v>
      </c>
      <c r="D44" s="49">
        <f>F44+G44+LARGE((E44,H44:N44),1)+LARGE((E44,H44:N44),2)+LARGE((E44,H44:N44),3)</f>
        <v>3.1500000000000005E-9</v>
      </c>
      <c r="E44" s="43">
        <f t="shared" ref="E44:N44" si="22">C3</f>
        <v>1E-10</v>
      </c>
      <c r="F44" s="43">
        <f t="shared" si="22"/>
        <v>2.0000000000000001E-10</v>
      </c>
      <c r="G44" s="43">
        <f t="shared" si="22"/>
        <v>3E-10</v>
      </c>
      <c r="H44" s="43">
        <f t="shared" si="22"/>
        <v>4.0000000000000001E-10</v>
      </c>
      <c r="I44" s="43">
        <f t="shared" si="22"/>
        <v>5.0000000000000003E-10</v>
      </c>
      <c r="J44" s="43">
        <f t="shared" si="22"/>
        <v>6E-10</v>
      </c>
      <c r="K44" s="43">
        <f t="shared" si="22"/>
        <v>6.9999999999999996E-10</v>
      </c>
      <c r="L44" s="51">
        <f t="shared" si="22"/>
        <v>8.0000000000000003E-10</v>
      </c>
      <c r="M44" s="51">
        <f t="shared" si="22"/>
        <v>8.9999999999999999E-10</v>
      </c>
      <c r="N44" s="43">
        <f t="shared" si="22"/>
        <v>9.5000000000000003E-10</v>
      </c>
      <c r="Q44" s="44" t="s">
        <v>435</v>
      </c>
    </row>
    <row r="45" spans="1:19">
      <c r="A45" s="49" t="s">
        <v>245</v>
      </c>
      <c r="B45" s="49" t="s">
        <v>246</v>
      </c>
      <c r="C45" s="163" t="s">
        <v>80</v>
      </c>
      <c r="D45" s="49">
        <f>F45+LARGE((E45,G45:H45,J45:M45),1)+LARGE((E45,G45:H45,J45:M45),2)+LARGE((E45,G45:H45,J45:M45),3)+LARGE((E45,G45:H45,J45:M45),4)+LARGE((E45,G45:H45,J45:M45),5)</f>
        <v>3.6E-9</v>
      </c>
      <c r="E45" s="43">
        <f t="shared" ref="E45:N45" si="23">C3</f>
        <v>1E-10</v>
      </c>
      <c r="F45" s="43">
        <f t="shared" si="23"/>
        <v>2.0000000000000001E-10</v>
      </c>
      <c r="G45" s="43">
        <f t="shared" si="23"/>
        <v>3E-10</v>
      </c>
      <c r="H45" s="43">
        <f t="shared" si="23"/>
        <v>4.0000000000000001E-10</v>
      </c>
      <c r="I45" s="43">
        <f t="shared" si="23"/>
        <v>5.0000000000000003E-10</v>
      </c>
      <c r="J45" s="43">
        <f t="shared" si="23"/>
        <v>6E-10</v>
      </c>
      <c r="K45" s="43">
        <f t="shared" si="23"/>
        <v>6.9999999999999996E-10</v>
      </c>
      <c r="L45" s="51">
        <f t="shared" si="23"/>
        <v>8.0000000000000003E-10</v>
      </c>
      <c r="M45" s="51">
        <f t="shared" si="23"/>
        <v>8.9999999999999999E-10</v>
      </c>
      <c r="N45" s="43">
        <f t="shared" si="23"/>
        <v>9.5000000000000003E-10</v>
      </c>
      <c r="Q45" s="43">
        <f>(E13+G13*0.5)/1.5</f>
        <v>3.6666666666666664E-10</v>
      </c>
    </row>
    <row r="46" spans="1:19">
      <c r="A46" s="49" t="s">
        <v>269</v>
      </c>
      <c r="B46" s="49" t="s">
        <v>169</v>
      </c>
      <c r="C46" s="163" t="s">
        <v>80</v>
      </c>
      <c r="D46" s="49">
        <f>F46+LARGE((E46,G46:H46,J46:M46),1)+LARGE((E46,G46:H46,J46:M46),2)+LARGE((E46,G46:H46,J46:M46),3)+LARGE((E46,G46:H46,J46:M46),4)+LARGE((E46,G46:H46,J46:M46),5)</f>
        <v>3.6E-9</v>
      </c>
      <c r="E46" s="43">
        <f t="shared" ref="E46:N46" si="24">C3</f>
        <v>1E-10</v>
      </c>
      <c r="F46" s="43">
        <f t="shared" si="24"/>
        <v>2.0000000000000001E-10</v>
      </c>
      <c r="G46" s="43">
        <f t="shared" si="24"/>
        <v>3E-10</v>
      </c>
      <c r="H46" s="43">
        <f t="shared" si="24"/>
        <v>4.0000000000000001E-10</v>
      </c>
      <c r="I46" s="43">
        <f t="shared" si="24"/>
        <v>5.0000000000000003E-10</v>
      </c>
      <c r="J46" s="43">
        <f t="shared" si="24"/>
        <v>6E-10</v>
      </c>
      <c r="K46" s="43">
        <f t="shared" si="24"/>
        <v>6.9999999999999996E-10</v>
      </c>
      <c r="L46" s="51">
        <f t="shared" si="24"/>
        <v>8.0000000000000003E-10</v>
      </c>
      <c r="M46" s="51">
        <f t="shared" si="24"/>
        <v>8.9999999999999999E-10</v>
      </c>
      <c r="N46" s="43">
        <f t="shared" si="24"/>
        <v>9.5000000000000003E-10</v>
      </c>
    </row>
    <row r="47" spans="1:19">
      <c r="A47" s="49" t="s">
        <v>270</v>
      </c>
      <c r="B47" s="49" t="s">
        <v>271</v>
      </c>
      <c r="C47" s="163" t="s">
        <v>80</v>
      </c>
      <c r="D47" s="49">
        <f>IF($E$13&gt;$Q$45,(LARGE((E47:H47,J47:M47),1)+LARGE((E47:H47,J47:M47),2)+LARGE((E47:H47,J47:M47),3)+LARGE((E47:H47,J47:M47),4)+LARGE((E47:H47,J47:M47),5)+LARGE((E47:H47,J47:M47),6)),(LARGE((E47:F47,H47,$Q$45,J47:M47),1)+LARGE((E47:F47,H47,$Q$45,J47:M47),2)+LARGE((E47:F47,H47,$Q$45,J47:M47),3)+LARGE((E47:F47,H47,$Q$45,J47:M47),4)+LARGE((E47:F47,H47,$Q$45,J47:M47),5)+LARGE((E47:F47,H47,$Q$45,J47:M47),6)))</f>
        <v>3.7666666666666665E-9</v>
      </c>
      <c r="E47" s="43">
        <f t="shared" ref="E47:N47" si="25">C13</f>
        <v>1E-10</v>
      </c>
      <c r="F47" s="43">
        <f t="shared" si="25"/>
        <v>2.0000000000000001E-10</v>
      </c>
      <c r="G47" s="43">
        <f t="shared" si="25"/>
        <v>3E-10</v>
      </c>
      <c r="H47" s="43">
        <f t="shared" si="25"/>
        <v>4.0000000000000001E-10</v>
      </c>
      <c r="I47" s="43">
        <f t="shared" si="25"/>
        <v>5.0000000000000003E-10</v>
      </c>
      <c r="J47" s="43">
        <f t="shared" si="25"/>
        <v>6E-10</v>
      </c>
      <c r="K47" s="43">
        <f t="shared" si="25"/>
        <v>6.9999999999999996E-10</v>
      </c>
      <c r="L47" s="43">
        <f t="shared" si="25"/>
        <v>8.0000000000000003E-10</v>
      </c>
      <c r="M47" s="43">
        <f t="shared" si="25"/>
        <v>8.9999999999999999E-10</v>
      </c>
      <c r="N47" s="43">
        <f t="shared" si="25"/>
        <v>9.5000000000000003E-10</v>
      </c>
    </row>
    <row r="48" spans="1:19">
      <c r="A48" s="49" t="s">
        <v>272</v>
      </c>
      <c r="B48" s="49" t="s">
        <v>273</v>
      </c>
      <c r="C48" s="163" t="s">
        <v>214</v>
      </c>
      <c r="D48" s="49">
        <f>LARGE((E48:H48,J48:M48),1)+LARGE((E48:H48,J48:M48),2)+LARGE((E48:H48,J48:M48),3)+LARGE((E48:H48,J48:M48),4)+LARGE((E48:H48,J48:M48),5)</f>
        <v>3.3999999999999998E-9</v>
      </c>
      <c r="E48" s="43">
        <f t="shared" ref="E48:N48" si="26">C3</f>
        <v>1E-10</v>
      </c>
      <c r="F48" s="43">
        <f t="shared" si="26"/>
        <v>2.0000000000000001E-10</v>
      </c>
      <c r="G48" s="43">
        <f t="shared" si="26"/>
        <v>3E-10</v>
      </c>
      <c r="H48" s="43">
        <f t="shared" si="26"/>
        <v>4.0000000000000001E-10</v>
      </c>
      <c r="I48" s="43">
        <f t="shared" si="26"/>
        <v>5.0000000000000003E-10</v>
      </c>
      <c r="J48" s="43">
        <f t="shared" si="26"/>
        <v>6E-10</v>
      </c>
      <c r="K48" s="43">
        <f t="shared" si="26"/>
        <v>6.9999999999999996E-10</v>
      </c>
      <c r="L48" s="51">
        <f t="shared" si="26"/>
        <v>8.0000000000000003E-10</v>
      </c>
      <c r="M48" s="51">
        <f t="shared" si="26"/>
        <v>8.9999999999999999E-10</v>
      </c>
      <c r="N48" s="43">
        <f t="shared" si="26"/>
        <v>9.5000000000000003E-10</v>
      </c>
    </row>
    <row r="49" spans="1:14">
      <c r="A49" s="49" t="s">
        <v>274</v>
      </c>
      <c r="B49" s="49" t="s">
        <v>275</v>
      </c>
      <c r="C49" s="163" t="s">
        <v>214</v>
      </c>
      <c r="D49" s="49">
        <f>LARGE((E49:H49,J49:M49),1)+LARGE((E49:H49,J49:M49),2)+LARGE((E49:H49,J49:M49),3)+LARGE((E49:H49,J49:M49),4)+LARGE((E49:H49,J49:M49),5)</f>
        <v>3.3999999999999998E-9</v>
      </c>
      <c r="E49" s="43">
        <f t="shared" ref="E49:N49" si="27">C3</f>
        <v>1E-10</v>
      </c>
      <c r="F49" s="43">
        <f t="shared" si="27"/>
        <v>2.0000000000000001E-10</v>
      </c>
      <c r="G49" s="43">
        <f t="shared" si="27"/>
        <v>3E-10</v>
      </c>
      <c r="H49" s="43">
        <f t="shared" si="27"/>
        <v>4.0000000000000001E-10</v>
      </c>
      <c r="I49" s="43">
        <f t="shared" si="27"/>
        <v>5.0000000000000003E-10</v>
      </c>
      <c r="J49" s="43">
        <f t="shared" si="27"/>
        <v>6E-10</v>
      </c>
      <c r="K49" s="43">
        <f t="shared" si="27"/>
        <v>6.9999999999999996E-10</v>
      </c>
      <c r="L49" s="51">
        <f t="shared" si="27"/>
        <v>8.0000000000000003E-10</v>
      </c>
      <c r="M49" s="51">
        <f t="shared" si="27"/>
        <v>8.9999999999999999E-10</v>
      </c>
      <c r="N49" s="43">
        <f t="shared" si="27"/>
        <v>9.5000000000000003E-10</v>
      </c>
    </row>
    <row r="50" spans="1:14">
      <c r="A50" s="49" t="s">
        <v>276</v>
      </c>
      <c r="B50" s="49" t="s">
        <v>277</v>
      </c>
      <c r="C50" s="163" t="s">
        <v>80</v>
      </c>
      <c r="D50" s="49">
        <f>IF($E$13&gt;$Q$45,(LARGE((E50:H50,J50:M50),1)+LARGE((E50:H50,J50:M50),2)+LARGE((E50:H50,J50:M50),3)+LARGE((E50:H50,J50:M50),4)+LARGE((E50:H50,J50:M50),5)+LARGE((E50:H50,J50:M50),6)),(LARGE((E50:F50,H50,$Q$45,J50:M50),1)+LARGE((E50:F50,H50,$Q$45,J50:M50),2)+LARGE((E50:F50,H50,$Q$45,J50:M50),3)+LARGE((E50:F50,H50,$Q$45,J50:M50),4)+LARGE((E50:F50,H50,$Q$45,J50:M50),5)+LARGE((E50:F50,H50,$Q$45,J50:M50),6)))</f>
        <v>3.7666666666666665E-9</v>
      </c>
      <c r="E50" s="43">
        <f t="shared" ref="E50:N50" si="28">C13</f>
        <v>1E-10</v>
      </c>
      <c r="F50" s="43">
        <f t="shared" si="28"/>
        <v>2.0000000000000001E-10</v>
      </c>
      <c r="G50" s="43">
        <f t="shared" si="28"/>
        <v>3E-10</v>
      </c>
      <c r="H50" s="43">
        <f t="shared" si="28"/>
        <v>4.0000000000000001E-10</v>
      </c>
      <c r="I50" s="43">
        <f t="shared" si="28"/>
        <v>5.0000000000000003E-10</v>
      </c>
      <c r="J50" s="43">
        <f t="shared" si="28"/>
        <v>6E-10</v>
      </c>
      <c r="K50" s="43">
        <f t="shared" si="28"/>
        <v>6.9999999999999996E-10</v>
      </c>
      <c r="L50" s="43">
        <f t="shared" si="28"/>
        <v>8.0000000000000003E-10</v>
      </c>
      <c r="M50" s="43">
        <f t="shared" si="28"/>
        <v>8.9999999999999999E-10</v>
      </c>
      <c r="N50" s="43">
        <f t="shared" si="28"/>
        <v>9.5000000000000003E-10</v>
      </c>
    </row>
    <row r="51" spans="1:14">
      <c r="A51" s="49" t="s">
        <v>308</v>
      </c>
      <c r="B51" s="49" t="s">
        <v>309</v>
      </c>
      <c r="C51" s="163" t="s">
        <v>80</v>
      </c>
      <c r="D51" s="49">
        <f>IF($E$13&gt;$Q$45,(LARGE((E51:H51,J51:M51),1)+LARGE((E51:H51,J51:M51),2)+LARGE((E51:H51,J51:M51),3)+LARGE((E51:H51,J51:M51),4)+LARGE((E51:H51,J51:M51),5)+LARGE((E51:H51,J51:M51),6)),(LARGE((E51:F51,H51,$Q$45,J51:M51),1)+LARGE((E51:F51,H51,$Q$45,J51:M51),2)+LARGE((E51:F51,H51,$Q$45,J51:M51),3)+LARGE((E51:F51,H51,$Q$45,J51:M51),4)+LARGE((E51:F51,H51,$Q$45,J51:M51),5)+LARGE((E51:F51,H51,$Q$45,J51:M51),6)))</f>
        <v>3.7666666666666665E-9</v>
      </c>
      <c r="E51" s="43">
        <f t="shared" ref="E51:N51" si="29">C13</f>
        <v>1E-10</v>
      </c>
      <c r="F51" s="43">
        <f t="shared" si="29"/>
        <v>2.0000000000000001E-10</v>
      </c>
      <c r="G51" s="43">
        <f t="shared" si="29"/>
        <v>3E-10</v>
      </c>
      <c r="H51" s="43">
        <f t="shared" si="29"/>
        <v>4.0000000000000001E-10</v>
      </c>
      <c r="I51" s="43">
        <f t="shared" si="29"/>
        <v>5.0000000000000003E-10</v>
      </c>
      <c r="J51" s="43">
        <f t="shared" si="29"/>
        <v>6E-10</v>
      </c>
      <c r="K51" s="43">
        <f t="shared" si="29"/>
        <v>6.9999999999999996E-10</v>
      </c>
      <c r="L51" s="43">
        <f t="shared" si="29"/>
        <v>8.0000000000000003E-10</v>
      </c>
      <c r="M51" s="43">
        <f t="shared" si="29"/>
        <v>8.9999999999999999E-10</v>
      </c>
      <c r="N51" s="43">
        <f t="shared" si="29"/>
        <v>9.5000000000000003E-10</v>
      </c>
    </row>
    <row r="52" spans="1:14">
      <c r="A52" s="49" t="s">
        <v>280</v>
      </c>
      <c r="B52" s="49" t="s">
        <v>281</v>
      </c>
      <c r="C52" s="163" t="s">
        <v>80</v>
      </c>
      <c r="D52" s="49">
        <f>F52+G52+I52+LARGE((E52,H52,J52:M52),1)+LARGE((E52,H52,J52:M52),2)+LARGE((E52,H52,J52:M52),3)</f>
        <v>3.4000000000000003E-9</v>
      </c>
      <c r="E52" s="43">
        <f t="shared" ref="E52:N52" si="30">C3</f>
        <v>1E-10</v>
      </c>
      <c r="F52" s="43">
        <f t="shared" si="30"/>
        <v>2.0000000000000001E-10</v>
      </c>
      <c r="G52" s="43">
        <f t="shared" si="30"/>
        <v>3E-10</v>
      </c>
      <c r="H52" s="43">
        <f t="shared" si="30"/>
        <v>4.0000000000000001E-10</v>
      </c>
      <c r="I52" s="43">
        <f t="shared" si="30"/>
        <v>5.0000000000000003E-10</v>
      </c>
      <c r="J52" s="43">
        <f t="shared" si="30"/>
        <v>6E-10</v>
      </c>
      <c r="K52" s="43">
        <f t="shared" si="30"/>
        <v>6.9999999999999996E-10</v>
      </c>
      <c r="L52" s="51">
        <f t="shared" si="30"/>
        <v>8.0000000000000003E-10</v>
      </c>
      <c r="M52" s="51">
        <f t="shared" si="30"/>
        <v>8.9999999999999999E-10</v>
      </c>
      <c r="N52" s="43">
        <f t="shared" si="30"/>
        <v>9.5000000000000003E-10</v>
      </c>
    </row>
    <row r="53" spans="1:14">
      <c r="A53" s="49" t="s">
        <v>302</v>
      </c>
      <c r="B53" s="49" t="s">
        <v>303</v>
      </c>
      <c r="C53" s="163" t="s">
        <v>82</v>
      </c>
      <c r="D53" s="49">
        <f>F53+G53+$R$23+LARGE((E53,H53:M53),1)+LARGE((E53,H53:M53),2)</f>
        <v>2.2000000000000003E-9</v>
      </c>
      <c r="E53" s="43">
        <f>C3</f>
        <v>1E-10</v>
      </c>
      <c r="F53" s="43">
        <f>D3</f>
        <v>2.0000000000000001E-10</v>
      </c>
      <c r="G53" s="43">
        <f>E3</f>
        <v>3E-10</v>
      </c>
      <c r="H53" s="43">
        <f>F3</f>
        <v>4.0000000000000001E-10</v>
      </c>
      <c r="I53" s="43">
        <f>G3</f>
        <v>5.0000000000000003E-10</v>
      </c>
      <c r="J53" s="43">
        <f>IF(H1=$Q$23,0,H3)</f>
        <v>6E-10</v>
      </c>
      <c r="K53" s="43">
        <f t="shared" ref="K53:M53" si="31">IF(I1=$Q$23,0,I3)</f>
        <v>6.9999999999999996E-10</v>
      </c>
      <c r="L53" s="43">
        <f t="shared" si="31"/>
        <v>8.0000000000000003E-10</v>
      </c>
      <c r="M53" s="43">
        <f t="shared" si="31"/>
        <v>8.9999999999999999E-10</v>
      </c>
      <c r="N53" s="43">
        <f>L3</f>
        <v>9.5000000000000003E-10</v>
      </c>
    </row>
    <row r="54" spans="1:14">
      <c r="A54" s="49" t="s">
        <v>278</v>
      </c>
      <c r="B54" s="49" t="s">
        <v>279</v>
      </c>
      <c r="C54" s="163" t="s">
        <v>214</v>
      </c>
      <c r="D54" s="49">
        <f>LARGE((E54:H54,J54:M54),1)+LARGE((E54:H54,J54:M54),2)+LARGE((E54:H54,J54:M54),3)+LARGE((E54:H54,J54:M54),4)+LARGE((E54:H54,J54:M54),5)</f>
        <v>3.3999999999999998E-9</v>
      </c>
      <c r="E54" s="43">
        <f t="shared" ref="E54:N54" si="32">C3</f>
        <v>1E-10</v>
      </c>
      <c r="F54" s="43">
        <f t="shared" si="32"/>
        <v>2.0000000000000001E-10</v>
      </c>
      <c r="G54" s="43">
        <f t="shared" si="32"/>
        <v>3E-10</v>
      </c>
      <c r="H54" s="43">
        <f t="shared" si="32"/>
        <v>4.0000000000000001E-10</v>
      </c>
      <c r="I54" s="43">
        <f t="shared" si="32"/>
        <v>5.0000000000000003E-10</v>
      </c>
      <c r="J54" s="43">
        <f t="shared" si="32"/>
        <v>6E-10</v>
      </c>
      <c r="K54" s="43">
        <f t="shared" si="32"/>
        <v>6.9999999999999996E-10</v>
      </c>
      <c r="L54" s="51">
        <f t="shared" si="32"/>
        <v>8.0000000000000003E-10</v>
      </c>
      <c r="M54" s="51">
        <f t="shared" si="32"/>
        <v>8.9999999999999999E-10</v>
      </c>
      <c r="N54" s="43">
        <f t="shared" si="32"/>
        <v>9.5000000000000003E-10</v>
      </c>
    </row>
    <row r="55" spans="1:14">
      <c r="A55" s="49" t="s">
        <v>282</v>
      </c>
      <c r="B55" s="49" t="s">
        <v>283</v>
      </c>
      <c r="C55" s="163" t="s">
        <v>214</v>
      </c>
      <c r="D55" s="49">
        <f>LARGE((E55:H55,J55:M55),1)+LARGE((E55:H55,J55:M55),2)+LARGE((E55:H55,J55:M55),3)+LARGE((E55:H55,J55:M55),4)+LARGE((E55:H55,J55:M55),5)</f>
        <v>3.3999999999999998E-9</v>
      </c>
      <c r="E55" s="43">
        <f t="shared" ref="E55:N55" si="33">C3</f>
        <v>1E-10</v>
      </c>
      <c r="F55" s="43">
        <f t="shared" si="33"/>
        <v>2.0000000000000001E-10</v>
      </c>
      <c r="G55" s="43">
        <f t="shared" si="33"/>
        <v>3E-10</v>
      </c>
      <c r="H55" s="43">
        <f t="shared" si="33"/>
        <v>4.0000000000000001E-10</v>
      </c>
      <c r="I55" s="43">
        <f t="shared" si="33"/>
        <v>5.0000000000000003E-10</v>
      </c>
      <c r="J55" s="43">
        <f t="shared" si="33"/>
        <v>6E-10</v>
      </c>
      <c r="K55" s="43">
        <f t="shared" si="33"/>
        <v>6.9999999999999996E-10</v>
      </c>
      <c r="L55" s="51">
        <f t="shared" si="33"/>
        <v>8.0000000000000003E-10</v>
      </c>
      <c r="M55" s="51">
        <f t="shared" si="33"/>
        <v>8.9999999999999999E-10</v>
      </c>
      <c r="N55" s="43">
        <f t="shared" si="33"/>
        <v>9.5000000000000003E-10</v>
      </c>
    </row>
    <row r="56" spans="1:14">
      <c r="A56" s="49" t="s">
        <v>292</v>
      </c>
      <c r="B56" s="49" t="s">
        <v>293</v>
      </c>
      <c r="C56" s="163" t="s">
        <v>80</v>
      </c>
      <c r="D56" s="49">
        <f>LARGE((E56:H56,J56:M56),1)+LARGE((E56:H56,J56:M56),2)+LARGE((E56:H56,J56:M56),3)+LARGE((E56:H56,J56:M56),4)+LARGE((E56:H56,J56:M56),5)+LARGE((E56:H56,J56:M56),6)</f>
        <v>3.7E-9</v>
      </c>
      <c r="E56" s="43">
        <f t="shared" ref="E56:N56" si="34">C3</f>
        <v>1E-10</v>
      </c>
      <c r="F56" s="43">
        <f t="shared" si="34"/>
        <v>2.0000000000000001E-10</v>
      </c>
      <c r="G56" s="43">
        <f t="shared" si="34"/>
        <v>3E-10</v>
      </c>
      <c r="H56" s="43">
        <f t="shared" si="34"/>
        <v>4.0000000000000001E-10</v>
      </c>
      <c r="I56" s="43">
        <f t="shared" si="34"/>
        <v>5.0000000000000003E-10</v>
      </c>
      <c r="J56" s="43">
        <f t="shared" si="34"/>
        <v>6E-10</v>
      </c>
      <c r="K56" s="43">
        <f t="shared" si="34"/>
        <v>6.9999999999999996E-10</v>
      </c>
      <c r="L56" s="51">
        <f t="shared" si="34"/>
        <v>8.0000000000000003E-10</v>
      </c>
      <c r="M56" s="51">
        <f t="shared" si="34"/>
        <v>8.9999999999999999E-10</v>
      </c>
      <c r="N56" s="43">
        <f t="shared" si="34"/>
        <v>9.5000000000000003E-10</v>
      </c>
    </row>
    <row r="57" spans="1:14">
      <c r="A57" s="49" t="s">
        <v>294</v>
      </c>
      <c r="B57" s="49" t="s">
        <v>295</v>
      </c>
      <c r="C57" s="163" t="s">
        <v>214</v>
      </c>
      <c r="D57" s="49">
        <f>LARGE((E57:H57,J57:M57),1)+LARGE((E57:H57,J57:M57),2)+LARGE((E57:H57,J57:M57),3)+LARGE((E57:H57,J57:M57),4)+LARGE((E57:H57,J57:M57),5)</f>
        <v>3.3999999999999998E-9</v>
      </c>
      <c r="E57" s="43">
        <f t="shared" ref="E57:N57" si="35">C3</f>
        <v>1E-10</v>
      </c>
      <c r="F57" s="43">
        <f t="shared" si="35"/>
        <v>2.0000000000000001E-10</v>
      </c>
      <c r="G57" s="43">
        <f t="shared" si="35"/>
        <v>3E-10</v>
      </c>
      <c r="H57" s="43">
        <f t="shared" si="35"/>
        <v>4.0000000000000001E-10</v>
      </c>
      <c r="I57" s="43">
        <f t="shared" si="35"/>
        <v>5.0000000000000003E-10</v>
      </c>
      <c r="J57" s="43">
        <f t="shared" si="35"/>
        <v>6E-10</v>
      </c>
      <c r="K57" s="43">
        <f t="shared" si="35"/>
        <v>6.9999999999999996E-10</v>
      </c>
      <c r="L57" s="51">
        <f t="shared" si="35"/>
        <v>8.0000000000000003E-10</v>
      </c>
      <c r="M57" s="51">
        <f t="shared" si="35"/>
        <v>8.9999999999999999E-10</v>
      </c>
      <c r="N57" s="43">
        <f t="shared" si="35"/>
        <v>9.5000000000000003E-10</v>
      </c>
    </row>
    <row r="58" spans="1:14">
      <c r="A58" s="49" t="s">
        <v>259</v>
      </c>
      <c r="B58" s="41" t="s">
        <v>260</v>
      </c>
      <c r="C58" s="163" t="s">
        <v>214</v>
      </c>
      <c r="D58" s="49">
        <f>LARGE((E58:H58,J58:N58),1)+LARGE((E58:H58,J58:N58),2)+LARGE((E58:H58,J58:N58),3)+LARGE((E58:H58,J58:N58),4)+LARGE((E58:H58,J58:N58),5)</f>
        <v>3.9500000000000006E-9</v>
      </c>
      <c r="E58" s="43">
        <f t="shared" ref="E58:N58" si="36">C3</f>
        <v>1E-10</v>
      </c>
      <c r="F58" s="43">
        <f t="shared" si="36"/>
        <v>2.0000000000000001E-10</v>
      </c>
      <c r="G58" s="43">
        <f t="shared" si="36"/>
        <v>3E-10</v>
      </c>
      <c r="H58" s="43">
        <f t="shared" si="36"/>
        <v>4.0000000000000001E-10</v>
      </c>
      <c r="I58" s="43">
        <f t="shared" si="36"/>
        <v>5.0000000000000003E-10</v>
      </c>
      <c r="J58" s="43">
        <f t="shared" si="36"/>
        <v>6E-10</v>
      </c>
      <c r="K58" s="43">
        <f t="shared" si="36"/>
        <v>6.9999999999999996E-10</v>
      </c>
      <c r="L58" s="51">
        <f t="shared" si="36"/>
        <v>8.0000000000000003E-10</v>
      </c>
      <c r="M58" s="51">
        <f t="shared" si="36"/>
        <v>8.9999999999999999E-10</v>
      </c>
      <c r="N58" s="43">
        <f t="shared" si="36"/>
        <v>9.5000000000000003E-10</v>
      </c>
    </row>
    <row r="59" spans="1:14">
      <c r="A59" s="49" t="s">
        <v>261</v>
      </c>
      <c r="B59" s="49" t="s">
        <v>262</v>
      </c>
      <c r="C59" s="163" t="s">
        <v>80</v>
      </c>
      <c r="D59" s="49">
        <f>F59+G59+I59+LARGE((E59,H59,J59:M59),1)+LARGE((E59,H59,J59:M59),2)+LARGE((E59,H59,J59:M59),3)</f>
        <v>3.4000000000000003E-9</v>
      </c>
      <c r="E59" s="43">
        <f t="shared" ref="E59:N59" si="37">C3</f>
        <v>1E-10</v>
      </c>
      <c r="F59" s="43">
        <f t="shared" si="37"/>
        <v>2.0000000000000001E-10</v>
      </c>
      <c r="G59" s="43">
        <f t="shared" si="37"/>
        <v>3E-10</v>
      </c>
      <c r="H59" s="43">
        <f t="shared" si="37"/>
        <v>4.0000000000000001E-10</v>
      </c>
      <c r="I59" s="43">
        <f t="shared" si="37"/>
        <v>5.0000000000000003E-10</v>
      </c>
      <c r="J59" s="43">
        <f t="shared" si="37"/>
        <v>6E-10</v>
      </c>
      <c r="K59" s="43">
        <f t="shared" si="37"/>
        <v>6.9999999999999996E-10</v>
      </c>
      <c r="L59" s="51">
        <f t="shared" si="37"/>
        <v>8.0000000000000003E-10</v>
      </c>
      <c r="M59" s="51">
        <f t="shared" si="37"/>
        <v>8.9999999999999999E-10</v>
      </c>
      <c r="N59" s="43">
        <f t="shared" si="37"/>
        <v>9.5000000000000003E-10</v>
      </c>
    </row>
    <row r="60" spans="1:14">
      <c r="A60" s="49" t="s">
        <v>263</v>
      </c>
      <c r="B60" s="49" t="s">
        <v>264</v>
      </c>
      <c r="C60" s="163" t="s">
        <v>427</v>
      </c>
      <c r="D60" s="49">
        <f>LARGE((E60:N60),1)+LARGE((E60:N60),2)+LARGE((E60:N60),3)+LARGE((E60:N60),4)+LARGE((E60:N60),5)</f>
        <v>3.9500000000000006E-9</v>
      </c>
      <c r="E60" s="43">
        <f t="shared" ref="E60:N60" si="38">C3</f>
        <v>1E-10</v>
      </c>
      <c r="F60" s="43">
        <f t="shared" si="38"/>
        <v>2.0000000000000001E-10</v>
      </c>
      <c r="G60" s="43">
        <f t="shared" si="38"/>
        <v>3E-10</v>
      </c>
      <c r="H60" s="43">
        <f t="shared" si="38"/>
        <v>4.0000000000000001E-10</v>
      </c>
      <c r="I60" s="43">
        <f t="shared" si="38"/>
        <v>5.0000000000000003E-10</v>
      </c>
      <c r="J60" s="43">
        <f t="shared" si="38"/>
        <v>6E-10</v>
      </c>
      <c r="K60" s="43">
        <f t="shared" si="38"/>
        <v>6.9999999999999996E-10</v>
      </c>
      <c r="L60" s="51">
        <f t="shared" si="38"/>
        <v>8.0000000000000003E-10</v>
      </c>
      <c r="M60" s="51">
        <f t="shared" si="38"/>
        <v>8.9999999999999999E-10</v>
      </c>
      <c r="N60" s="43">
        <f t="shared" si="38"/>
        <v>9.5000000000000003E-10</v>
      </c>
    </row>
    <row r="61" spans="1:14">
      <c r="A61" s="49" t="s">
        <v>265</v>
      </c>
      <c r="B61" s="49" t="s">
        <v>266</v>
      </c>
      <c r="C61" s="163" t="s">
        <v>80</v>
      </c>
      <c r="D61" s="49">
        <f>F61+G61+LARGE((E61,H61:N61),1)+LARGE((E61,H61:N61),2)+LARGE((E61,H61:N61),3)+LARGE((E61,H61:N61),4)</f>
        <v>3.8500000000000006E-9</v>
      </c>
      <c r="E61" s="43">
        <f t="shared" ref="E61:N61" si="39">C3</f>
        <v>1E-10</v>
      </c>
      <c r="F61" s="43">
        <f t="shared" si="39"/>
        <v>2.0000000000000001E-10</v>
      </c>
      <c r="G61" s="43">
        <f t="shared" si="39"/>
        <v>3E-10</v>
      </c>
      <c r="H61" s="43">
        <f t="shared" si="39"/>
        <v>4.0000000000000001E-10</v>
      </c>
      <c r="I61" s="43">
        <f t="shared" si="39"/>
        <v>5.0000000000000003E-10</v>
      </c>
      <c r="J61" s="43">
        <f t="shared" si="39"/>
        <v>6E-10</v>
      </c>
      <c r="K61" s="43">
        <f t="shared" si="39"/>
        <v>6.9999999999999996E-10</v>
      </c>
      <c r="L61" s="51">
        <f t="shared" si="39"/>
        <v>8.0000000000000003E-10</v>
      </c>
      <c r="M61" s="51">
        <f t="shared" si="39"/>
        <v>8.9999999999999999E-10</v>
      </c>
      <c r="N61" s="43">
        <f t="shared" si="39"/>
        <v>9.5000000000000003E-10</v>
      </c>
    </row>
    <row r="62" spans="1:14">
      <c r="A62" s="49" t="s">
        <v>267</v>
      </c>
      <c r="B62" s="49" t="s">
        <v>268</v>
      </c>
      <c r="C62" s="163" t="s">
        <v>82</v>
      </c>
      <c r="D62" s="49">
        <f>LARGE((E62:H62,J62:M62),1)+LARGE((E62:H62,J62:M62),2)+LARGE((E62:H62,J62:M62),3)+LARGE((E62:H62,J62:M62),4)+LARGE((E62:H62,J62:M62),5)</f>
        <v>3.3999999999999998E-9</v>
      </c>
      <c r="E62" s="43">
        <f t="shared" ref="E62:N62" si="40">C3</f>
        <v>1E-10</v>
      </c>
      <c r="F62" s="43">
        <f t="shared" si="40"/>
        <v>2.0000000000000001E-10</v>
      </c>
      <c r="G62" s="43">
        <f t="shared" si="40"/>
        <v>3E-10</v>
      </c>
      <c r="H62" s="43">
        <f t="shared" si="40"/>
        <v>4.0000000000000001E-10</v>
      </c>
      <c r="I62" s="43">
        <f t="shared" si="40"/>
        <v>5.0000000000000003E-10</v>
      </c>
      <c r="J62" s="43">
        <f t="shared" si="40"/>
        <v>6E-10</v>
      </c>
      <c r="K62" s="43">
        <f t="shared" si="40"/>
        <v>6.9999999999999996E-10</v>
      </c>
      <c r="L62" s="51">
        <f t="shared" si="40"/>
        <v>8.0000000000000003E-10</v>
      </c>
      <c r="M62" s="51">
        <f t="shared" si="40"/>
        <v>8.9999999999999999E-10</v>
      </c>
      <c r="N62" s="43">
        <f t="shared" si="40"/>
        <v>9.5000000000000003E-10</v>
      </c>
    </row>
    <row r="64" spans="1:14" ht="16.5">
      <c r="A64" s="13" t="s">
        <v>218</v>
      </c>
      <c r="D64" s="43" t="s">
        <v>219</v>
      </c>
      <c r="E64" s="3" t="s">
        <v>2</v>
      </c>
      <c r="F64" s="3" t="s">
        <v>1</v>
      </c>
      <c r="G64" s="44" t="s">
        <v>3</v>
      </c>
      <c r="H64" s="13" t="s">
        <v>4</v>
      </c>
      <c r="I64" s="44" t="s">
        <v>86</v>
      </c>
      <c r="J64" s="44" t="str">
        <f>H1</f>
        <v>請選擇第一選修科</v>
      </c>
      <c r="K64" s="44" t="str">
        <f>I1</f>
        <v>請選擇第二選修科</v>
      </c>
      <c r="L64" s="50" t="str">
        <f>J1</f>
        <v>請選擇第三選修科</v>
      </c>
      <c r="M64" s="50" t="str">
        <f>K1</f>
        <v>請選擇第四選修科</v>
      </c>
      <c r="N64" s="44" t="str">
        <f>L1</f>
        <v>請選擇語言科目</v>
      </c>
    </row>
    <row r="65" spans="1:20">
      <c r="A65" s="43" t="s">
        <v>94</v>
      </c>
      <c r="B65" s="43" t="s">
        <v>95</v>
      </c>
      <c r="C65" s="162" t="s">
        <v>214</v>
      </c>
      <c r="D65" s="43">
        <f>LARGE(E65:N65, 1)+LARGE(E65:N65, 2)+LARGE(E65:N65, 3)+LARGE(E65:N65, 4)+LARGE(E65:N65, 5)</f>
        <v>3.9500000000000006E-9</v>
      </c>
      <c r="E65" s="43">
        <f t="shared" ref="E65:N65" si="41">C4</f>
        <v>1E-10</v>
      </c>
      <c r="F65" s="43">
        <f t="shared" si="41"/>
        <v>2.0000000000000001E-10</v>
      </c>
      <c r="G65" s="43">
        <f t="shared" si="41"/>
        <v>3E-10</v>
      </c>
      <c r="H65" s="43">
        <f t="shared" si="41"/>
        <v>4.0000000000000001E-10</v>
      </c>
      <c r="I65" s="43">
        <f t="shared" si="41"/>
        <v>5.0000000000000003E-10</v>
      </c>
      <c r="J65" s="43">
        <f t="shared" si="41"/>
        <v>6E-10</v>
      </c>
      <c r="K65" s="43">
        <f t="shared" si="41"/>
        <v>6.9999999999999996E-10</v>
      </c>
      <c r="L65" s="51">
        <f t="shared" si="41"/>
        <v>8.0000000000000003E-10</v>
      </c>
      <c r="M65" s="51">
        <f t="shared" si="41"/>
        <v>8.9999999999999999E-10</v>
      </c>
      <c r="N65" s="43">
        <f t="shared" si="41"/>
        <v>9.5000000000000003E-10</v>
      </c>
    </row>
    <row r="66" spans="1:20">
      <c r="A66" s="43" t="s">
        <v>96</v>
      </c>
      <c r="B66" s="43" t="s">
        <v>97</v>
      </c>
      <c r="C66" s="162" t="s">
        <v>214</v>
      </c>
      <c r="D66" s="43">
        <f>LARGE(E66:N66, 1)+LARGE(E66:N66, 2)+LARGE(E66:N66, 3)+LARGE(E66:N66, 4)+LARGE(E66:N66, 5)</f>
        <v>3.9500000000000006E-9</v>
      </c>
      <c r="E66" s="43">
        <f>C4*1.5</f>
        <v>1.5E-10</v>
      </c>
      <c r="F66" s="43">
        <f t="shared" ref="F66:N66" si="42">D4</f>
        <v>2.0000000000000001E-10</v>
      </c>
      <c r="G66" s="43">
        <f t="shared" si="42"/>
        <v>3E-10</v>
      </c>
      <c r="H66" s="43">
        <f t="shared" si="42"/>
        <v>4.0000000000000001E-10</v>
      </c>
      <c r="I66" s="43">
        <f t="shared" si="42"/>
        <v>5.0000000000000003E-10</v>
      </c>
      <c r="J66" s="43">
        <f t="shared" si="42"/>
        <v>6E-10</v>
      </c>
      <c r="K66" s="43">
        <f t="shared" si="42"/>
        <v>6.9999999999999996E-10</v>
      </c>
      <c r="L66" s="51">
        <f t="shared" si="42"/>
        <v>8.0000000000000003E-10</v>
      </c>
      <c r="M66" s="51">
        <f t="shared" si="42"/>
        <v>8.9999999999999999E-10</v>
      </c>
      <c r="N66" s="43">
        <f t="shared" si="42"/>
        <v>9.5000000000000003E-10</v>
      </c>
    </row>
    <row r="67" spans="1:20">
      <c r="A67" s="43" t="s">
        <v>98</v>
      </c>
      <c r="B67" s="43" t="s">
        <v>99</v>
      </c>
      <c r="C67" s="162" t="s">
        <v>214</v>
      </c>
      <c r="D67" s="43">
        <f>LARGE(E67:N67, 1)+LARGE(E67:N67, 2)+LARGE(E67:N67, 3)+LARGE(E67:N67, 4)+LARGE(E67:N67, 5)</f>
        <v>3.9500000000000006E-9</v>
      </c>
      <c r="E67" s="43">
        <f t="shared" ref="E67:N67" si="43">C4</f>
        <v>1E-10</v>
      </c>
      <c r="F67" s="43">
        <f t="shared" si="43"/>
        <v>2.0000000000000001E-10</v>
      </c>
      <c r="G67" s="43">
        <f t="shared" si="43"/>
        <v>3E-10</v>
      </c>
      <c r="H67" s="43">
        <f t="shared" si="43"/>
        <v>4.0000000000000001E-10</v>
      </c>
      <c r="I67" s="43">
        <f t="shared" si="43"/>
        <v>5.0000000000000003E-10</v>
      </c>
      <c r="J67" s="43">
        <f t="shared" si="43"/>
        <v>6E-10</v>
      </c>
      <c r="K67" s="43">
        <f t="shared" si="43"/>
        <v>6.9999999999999996E-10</v>
      </c>
      <c r="L67" s="51">
        <f t="shared" si="43"/>
        <v>8.0000000000000003E-10</v>
      </c>
      <c r="M67" s="51">
        <f t="shared" si="43"/>
        <v>8.9999999999999999E-10</v>
      </c>
      <c r="N67" s="43">
        <f t="shared" si="43"/>
        <v>9.5000000000000003E-10</v>
      </c>
    </row>
    <row r="68" spans="1:20" ht="16.5">
      <c r="A68" s="43" t="s">
        <v>100</v>
      </c>
      <c r="B68" s="43" t="s">
        <v>101</v>
      </c>
      <c r="C68" s="162" t="s">
        <v>214</v>
      </c>
      <c r="D68" s="43">
        <f>LARGE(E68:N68, 1)+LARGE(E68:N68, 2)+LARGE(E68:N68, 3)+LARGE(E68:N68, 4)+LARGE(E68:N68, 5)</f>
        <v>3.9500000000000006E-9</v>
      </c>
      <c r="E68" s="43">
        <f t="shared" ref="E68:N68" si="44">C4</f>
        <v>1E-10</v>
      </c>
      <c r="F68" s="43">
        <f t="shared" si="44"/>
        <v>2.0000000000000001E-10</v>
      </c>
      <c r="G68" s="43">
        <f t="shared" si="44"/>
        <v>3E-10</v>
      </c>
      <c r="H68" s="43">
        <f t="shared" si="44"/>
        <v>4.0000000000000001E-10</v>
      </c>
      <c r="I68" s="43">
        <f t="shared" si="44"/>
        <v>5.0000000000000003E-10</v>
      </c>
      <c r="J68" s="43">
        <f t="shared" si="44"/>
        <v>6E-10</v>
      </c>
      <c r="K68" s="43">
        <f t="shared" si="44"/>
        <v>6.9999999999999996E-10</v>
      </c>
      <c r="L68" s="51">
        <f t="shared" si="44"/>
        <v>8.0000000000000003E-10</v>
      </c>
      <c r="M68" s="51">
        <f t="shared" si="44"/>
        <v>8.9999999999999999E-10</v>
      </c>
      <c r="N68" s="43">
        <f t="shared" si="44"/>
        <v>9.5000000000000003E-10</v>
      </c>
      <c r="O68" s="44" t="str">
        <f>H1</f>
        <v>請選擇第一選修科</v>
      </c>
      <c r="P68" s="44" t="str">
        <f>I1</f>
        <v>請選擇第二選修科</v>
      </c>
      <c r="Q68" s="44" t="str">
        <f>J1</f>
        <v>請選擇第三選修科</v>
      </c>
      <c r="R68" s="44" t="str">
        <f>K1</f>
        <v>請選擇第四選修科</v>
      </c>
      <c r="S68" s="44" t="s">
        <v>846</v>
      </c>
    </row>
    <row r="69" spans="1:20">
      <c r="A69" s="43" t="s">
        <v>102</v>
      </c>
      <c r="B69" s="43" t="s">
        <v>170</v>
      </c>
      <c r="C69" s="162" t="s">
        <v>220</v>
      </c>
      <c r="D69" s="43">
        <f>SUM(E69:H69)+LARGE(I69:N69,1)+LARGE(I69:N69,2)</f>
        <v>2.9499999999999999E-9</v>
      </c>
      <c r="E69" s="43">
        <f>C4</f>
        <v>1E-10</v>
      </c>
      <c r="F69" s="43">
        <f>D4*1.5</f>
        <v>3E-10</v>
      </c>
      <c r="G69" s="43">
        <f t="shared" ref="G69:N69" si="45">E4</f>
        <v>3E-10</v>
      </c>
      <c r="H69" s="43">
        <f t="shared" si="45"/>
        <v>4.0000000000000001E-10</v>
      </c>
      <c r="I69" s="43">
        <f t="shared" si="45"/>
        <v>5.0000000000000003E-10</v>
      </c>
      <c r="J69" s="43">
        <f t="shared" si="45"/>
        <v>6E-10</v>
      </c>
      <c r="K69" s="43">
        <f t="shared" si="45"/>
        <v>6.9999999999999996E-10</v>
      </c>
      <c r="L69" s="51">
        <f t="shared" si="45"/>
        <v>8.0000000000000003E-10</v>
      </c>
      <c r="M69" s="51">
        <f t="shared" si="45"/>
        <v>8.9999999999999999E-10</v>
      </c>
      <c r="N69" s="43">
        <f t="shared" si="45"/>
        <v>9.5000000000000003E-10</v>
      </c>
      <c r="O69" s="43">
        <f>IF(OR(H1="英語文學"),G4,0)</f>
        <v>0</v>
      </c>
      <c r="P69" s="43">
        <f>IF(OR(I1="英語文學"),H4,0)</f>
        <v>0</v>
      </c>
      <c r="Q69" s="43">
        <f>IF(OR(J1="英語文學"),I4,0)</f>
        <v>0</v>
      </c>
      <c r="R69" s="43">
        <f>IF(OR(K1="英語文學"),J4,0)</f>
        <v>0</v>
      </c>
      <c r="S69" s="43" t="str">
        <f>INDEX(H$1:K$1,MATCH(LARGE(O69:R69,1),O74:R74,0))</f>
        <v>請選擇第一選修科</v>
      </c>
      <c r="T69" s="43">
        <f>IF(S69="英語文學",1,0)</f>
        <v>0</v>
      </c>
    </row>
    <row r="70" spans="1:20">
      <c r="A70" s="43" t="s">
        <v>103</v>
      </c>
      <c r="B70" s="43" t="s">
        <v>104</v>
      </c>
      <c r="C70" s="162" t="s">
        <v>214</v>
      </c>
      <c r="D70" s="43">
        <f>LARGE(E70:N70, 1)+LARGE(E70:N70, 2)+LARGE(E70:N70, 3)+LARGE(E70:N70, 4)+LARGE(E70:N70, 5)</f>
        <v>3.9500000000000006E-9</v>
      </c>
      <c r="E70" s="43">
        <f t="shared" ref="E70:N70" si="46">C4</f>
        <v>1E-10</v>
      </c>
      <c r="F70" s="43">
        <f t="shared" si="46"/>
        <v>2.0000000000000001E-10</v>
      </c>
      <c r="G70" s="43">
        <f t="shared" si="46"/>
        <v>3E-10</v>
      </c>
      <c r="H70" s="43">
        <f t="shared" si="46"/>
        <v>4.0000000000000001E-10</v>
      </c>
      <c r="I70" s="43">
        <f t="shared" si="46"/>
        <v>5.0000000000000003E-10</v>
      </c>
      <c r="J70" s="43">
        <f t="shared" si="46"/>
        <v>6E-10</v>
      </c>
      <c r="K70" s="43">
        <f t="shared" si="46"/>
        <v>6.9999999999999996E-10</v>
      </c>
      <c r="L70" s="51">
        <f t="shared" si="46"/>
        <v>8.0000000000000003E-10</v>
      </c>
      <c r="M70" s="51">
        <f t="shared" si="46"/>
        <v>8.9999999999999999E-10</v>
      </c>
      <c r="N70" s="43">
        <f t="shared" si="46"/>
        <v>9.5000000000000003E-10</v>
      </c>
      <c r="O70" s="43">
        <f>IF(OR(H1="視覺藝術"),G4,0)</f>
        <v>0</v>
      </c>
      <c r="P70" s="43">
        <f>IF(OR(I1="視覺藝術"),H4,0)</f>
        <v>0</v>
      </c>
      <c r="Q70" s="43">
        <f>IF(OR(J1="視覺藝術"),I4,0)</f>
        <v>0</v>
      </c>
      <c r="R70" s="43">
        <f>IF(OR(K1="視覺藝術"),J4,0)</f>
        <v>0</v>
      </c>
      <c r="S70" s="43" t="str">
        <f>INDEX(H$1:K$1,MATCH(LARGE(O70:R70,1),O74:R74,0))</f>
        <v>請選擇第一選修科</v>
      </c>
      <c r="T70" s="43">
        <f>IF(S70="視覺藝術",1,0)</f>
        <v>0</v>
      </c>
    </row>
    <row r="71" spans="1:20">
      <c r="A71" s="43" t="s">
        <v>105</v>
      </c>
      <c r="B71" s="43" t="s">
        <v>22</v>
      </c>
      <c r="C71" s="162" t="s">
        <v>214</v>
      </c>
      <c r="D71" s="43">
        <f>LARGE(E71:N71, 1)+LARGE(E71:N71, 2)+LARGE(E71:N71, 3)+LARGE(E71:N71, 4)+LARGE(E71:N71, 5)</f>
        <v>3.9500000000000006E-9</v>
      </c>
      <c r="E71" s="43">
        <f t="shared" ref="E71:N71" si="47">C4</f>
        <v>1E-10</v>
      </c>
      <c r="F71" s="43">
        <f t="shared" si="47"/>
        <v>2.0000000000000001E-10</v>
      </c>
      <c r="G71" s="43">
        <f t="shared" si="47"/>
        <v>3E-10</v>
      </c>
      <c r="H71" s="43">
        <f t="shared" si="47"/>
        <v>4.0000000000000001E-10</v>
      </c>
      <c r="I71" s="43">
        <f t="shared" si="47"/>
        <v>5.0000000000000003E-10</v>
      </c>
      <c r="J71" s="43">
        <f t="shared" si="47"/>
        <v>6E-10</v>
      </c>
      <c r="K71" s="43">
        <f t="shared" si="47"/>
        <v>6.9999999999999996E-10</v>
      </c>
      <c r="L71" s="51">
        <f t="shared" si="47"/>
        <v>8.0000000000000003E-10</v>
      </c>
      <c r="M71" s="51">
        <f t="shared" si="47"/>
        <v>8.9999999999999999E-10</v>
      </c>
      <c r="N71" s="43">
        <f t="shared" si="47"/>
        <v>9.5000000000000003E-10</v>
      </c>
    </row>
    <row r="72" spans="1:20">
      <c r="A72" s="43" t="s">
        <v>106</v>
      </c>
      <c r="B72" s="43" t="s">
        <v>107</v>
      </c>
      <c r="C72" s="162" t="s">
        <v>214</v>
      </c>
      <c r="D72" s="43">
        <f>LARGE(E72:N72, 1)+LARGE(E72:N72, 2)+LARGE(E72:N72, 3)+LARGE(E72:N72, 4)+LARGE(E72:N72, 5)</f>
        <v>3.9500000000000006E-9</v>
      </c>
      <c r="E72" s="43">
        <f t="shared" ref="E72:N72" si="48">C4</f>
        <v>1E-10</v>
      </c>
      <c r="F72" s="43">
        <f t="shared" si="48"/>
        <v>2.0000000000000001E-10</v>
      </c>
      <c r="G72" s="43">
        <f t="shared" si="48"/>
        <v>3E-10</v>
      </c>
      <c r="H72" s="43">
        <f t="shared" si="48"/>
        <v>4.0000000000000001E-10</v>
      </c>
      <c r="I72" s="43">
        <f t="shared" si="48"/>
        <v>5.0000000000000003E-10</v>
      </c>
      <c r="J72" s="43">
        <f t="shared" si="48"/>
        <v>6E-10</v>
      </c>
      <c r="K72" s="43">
        <f t="shared" si="48"/>
        <v>6.9999999999999996E-10</v>
      </c>
      <c r="L72" s="51">
        <f t="shared" si="48"/>
        <v>8.0000000000000003E-10</v>
      </c>
      <c r="M72" s="51">
        <f t="shared" si="48"/>
        <v>8.9999999999999999E-10</v>
      </c>
      <c r="N72" s="43">
        <f t="shared" si="48"/>
        <v>9.5000000000000003E-10</v>
      </c>
    </row>
    <row r="73" spans="1:20">
      <c r="A73" s="43" t="s">
        <v>108</v>
      </c>
      <c r="B73" s="43" t="s">
        <v>171</v>
      </c>
      <c r="C73" s="162" t="s">
        <v>214</v>
      </c>
      <c r="D73" s="43">
        <f>LARGE(E73:N73, 1)+LARGE(E73:N73, 2)+LARGE(E73:N73, 3)+LARGE(E73:N73, 4)+LARGE(E73:N73, 5)</f>
        <v>3.9500000000000006E-9</v>
      </c>
      <c r="E73" s="43">
        <f t="shared" ref="E73:N73" si="49">C4</f>
        <v>1E-10</v>
      </c>
      <c r="F73" s="43">
        <f t="shared" si="49"/>
        <v>2.0000000000000001E-10</v>
      </c>
      <c r="G73" s="43">
        <f t="shared" si="49"/>
        <v>3E-10</v>
      </c>
      <c r="H73" s="43">
        <f t="shared" si="49"/>
        <v>4.0000000000000001E-10</v>
      </c>
      <c r="I73" s="43">
        <f t="shared" si="49"/>
        <v>5.0000000000000003E-10</v>
      </c>
      <c r="J73" s="43">
        <f t="shared" si="49"/>
        <v>6E-10</v>
      </c>
      <c r="K73" s="43">
        <f t="shared" si="49"/>
        <v>6.9999999999999996E-10</v>
      </c>
      <c r="L73" s="51">
        <f t="shared" si="49"/>
        <v>8.0000000000000003E-10</v>
      </c>
      <c r="M73" s="51">
        <f t="shared" si="49"/>
        <v>8.9999999999999999E-10</v>
      </c>
      <c r="N73" s="43">
        <f t="shared" si="49"/>
        <v>9.5000000000000003E-10</v>
      </c>
    </row>
    <row r="74" spans="1:20">
      <c r="A74" s="43" t="s">
        <v>109</v>
      </c>
      <c r="B74" s="43" t="s">
        <v>21</v>
      </c>
      <c r="C74" s="162" t="s">
        <v>214</v>
      </c>
      <c r="D74" s="43">
        <f>LARGE(E74:N74, 1)+LARGE(E74:N74, 2)+LARGE(E74:N74, 3)+LARGE(E74:N74, 4)+LARGE(E74:N74, 5)</f>
        <v>3.9500000000000006E-9</v>
      </c>
      <c r="E74" s="43">
        <f t="shared" ref="E74:N74" si="50">C4</f>
        <v>1E-10</v>
      </c>
      <c r="F74" s="43">
        <f t="shared" si="50"/>
        <v>2.0000000000000001E-10</v>
      </c>
      <c r="G74" s="43">
        <f t="shared" si="50"/>
        <v>3E-10</v>
      </c>
      <c r="H74" s="43">
        <f t="shared" si="50"/>
        <v>4.0000000000000001E-10</v>
      </c>
      <c r="I74" s="43">
        <f t="shared" si="50"/>
        <v>5.0000000000000003E-10</v>
      </c>
      <c r="J74" s="43">
        <f t="shared" si="50"/>
        <v>6E-10</v>
      </c>
      <c r="K74" s="43">
        <f t="shared" si="50"/>
        <v>6.9999999999999996E-10</v>
      </c>
      <c r="L74" s="51">
        <f t="shared" si="50"/>
        <v>8.0000000000000003E-10</v>
      </c>
      <c r="M74" s="51">
        <f t="shared" si="50"/>
        <v>8.9999999999999999E-10</v>
      </c>
      <c r="N74" s="43">
        <f t="shared" si="50"/>
        <v>9.5000000000000003E-10</v>
      </c>
      <c r="O74" s="43">
        <f>IF(OR(H1="音樂"),H4,0)</f>
        <v>0</v>
      </c>
      <c r="P74" s="43">
        <f>IF(OR(I1="音樂"),I4,0)</f>
        <v>0</v>
      </c>
      <c r="Q74" s="43">
        <f>IF(OR(J1="音樂"),J4,0)</f>
        <v>0</v>
      </c>
      <c r="R74" s="43">
        <f>IF(OR(K1="音樂"),K4,0)</f>
        <v>0</v>
      </c>
      <c r="S74" s="43" t="str">
        <f>INDEX(H$1:K$1,MATCH(LARGE(O74:R74,1),O74:R74,0))</f>
        <v>請選擇第一選修科</v>
      </c>
      <c r="T74" s="43">
        <f>IF(S74="音樂",1,0)</f>
        <v>0</v>
      </c>
    </row>
    <row r="75" spans="1:20">
      <c r="A75" s="43" t="s">
        <v>110</v>
      </c>
      <c r="B75" s="43" t="s">
        <v>172</v>
      </c>
      <c r="C75" s="162" t="s">
        <v>214</v>
      </c>
      <c r="D75" s="43">
        <f>SUM(E75:F75)+LARGE(G75:N75, 1)+LARGE(G75:N75, 2)+LARGE(G75:N75, 3)</f>
        <v>2.9500000000000004E-9</v>
      </c>
      <c r="E75" s="43">
        <f t="shared" ref="E75:N75" si="51">C4</f>
        <v>1E-10</v>
      </c>
      <c r="F75" s="43">
        <f t="shared" si="51"/>
        <v>2.0000000000000001E-10</v>
      </c>
      <c r="G75" s="43">
        <f t="shared" si="51"/>
        <v>3E-10</v>
      </c>
      <c r="H75" s="43">
        <f t="shared" si="51"/>
        <v>4.0000000000000001E-10</v>
      </c>
      <c r="I75" s="43">
        <f t="shared" si="51"/>
        <v>5.0000000000000003E-10</v>
      </c>
      <c r="J75" s="43">
        <f t="shared" si="51"/>
        <v>6E-10</v>
      </c>
      <c r="K75" s="43">
        <f t="shared" si="51"/>
        <v>6.9999999999999996E-10</v>
      </c>
      <c r="L75" s="51">
        <f t="shared" si="51"/>
        <v>8.0000000000000003E-10</v>
      </c>
      <c r="M75" s="51">
        <f t="shared" si="51"/>
        <v>8.9999999999999999E-10</v>
      </c>
      <c r="N75" s="43">
        <f t="shared" si="51"/>
        <v>9.5000000000000003E-10</v>
      </c>
    </row>
    <row r="76" spans="1:20">
      <c r="A76" s="43" t="s">
        <v>111</v>
      </c>
      <c r="B76" s="43" t="s">
        <v>173</v>
      </c>
      <c r="C76" s="162" t="s">
        <v>214</v>
      </c>
      <c r="D76" s="43">
        <f>LARGE(E76:N76, 1)+LARGE(E76:N76, 2)+LARGE(E76:N76, 3)+LARGE(E76:N76, 4)+LARGE(E76:N76, 5)</f>
        <v>3.9500000000000006E-9</v>
      </c>
      <c r="E76" s="43">
        <f t="shared" ref="E76:N76" si="52">C4</f>
        <v>1E-10</v>
      </c>
      <c r="F76" s="43">
        <f t="shared" si="52"/>
        <v>2.0000000000000001E-10</v>
      </c>
      <c r="G76" s="43">
        <f t="shared" si="52"/>
        <v>3E-10</v>
      </c>
      <c r="H76" s="43">
        <f t="shared" si="52"/>
        <v>4.0000000000000001E-10</v>
      </c>
      <c r="I76" s="43">
        <f t="shared" si="52"/>
        <v>5.0000000000000003E-10</v>
      </c>
      <c r="J76" s="43">
        <f t="shared" si="52"/>
        <v>6E-10</v>
      </c>
      <c r="K76" s="43">
        <f t="shared" si="52"/>
        <v>6.9999999999999996E-10</v>
      </c>
      <c r="L76" s="51">
        <f t="shared" si="52"/>
        <v>8.0000000000000003E-10</v>
      </c>
      <c r="M76" s="51">
        <f t="shared" si="52"/>
        <v>8.9999999999999999E-10</v>
      </c>
      <c r="N76" s="43">
        <f t="shared" si="52"/>
        <v>9.5000000000000003E-10</v>
      </c>
    </row>
    <row r="77" spans="1:20">
      <c r="A77" s="43" t="s">
        <v>112</v>
      </c>
      <c r="B77" s="43" t="s">
        <v>174</v>
      </c>
      <c r="C77" s="162" t="s">
        <v>214</v>
      </c>
      <c r="D77" s="43">
        <f>LARGE(E77:N77, 1)+LARGE(E77:N77, 2)+LARGE(E77:N77, 3)+LARGE(E77:N77, 4)+LARGE(E77:N77, 5)</f>
        <v>3.9500000000000006E-9</v>
      </c>
      <c r="E77" s="43">
        <f t="shared" ref="E77:N77" si="53">C4</f>
        <v>1E-10</v>
      </c>
      <c r="F77" s="43">
        <f t="shared" si="53"/>
        <v>2.0000000000000001E-10</v>
      </c>
      <c r="G77" s="43">
        <f t="shared" si="53"/>
        <v>3E-10</v>
      </c>
      <c r="H77" s="43">
        <f t="shared" si="53"/>
        <v>4.0000000000000001E-10</v>
      </c>
      <c r="I77" s="43">
        <f t="shared" si="53"/>
        <v>5.0000000000000003E-10</v>
      </c>
      <c r="J77" s="43">
        <f t="shared" si="53"/>
        <v>6E-10</v>
      </c>
      <c r="K77" s="43">
        <f t="shared" si="53"/>
        <v>6.9999999999999996E-10</v>
      </c>
      <c r="L77" s="51">
        <f t="shared" si="53"/>
        <v>8.0000000000000003E-10</v>
      </c>
      <c r="M77" s="51">
        <f t="shared" si="53"/>
        <v>8.9999999999999999E-10</v>
      </c>
      <c r="N77" s="43">
        <f t="shared" si="53"/>
        <v>9.5000000000000003E-10</v>
      </c>
    </row>
    <row r="78" spans="1:20">
      <c r="A78" s="43" t="s">
        <v>113</v>
      </c>
      <c r="B78" s="43" t="s">
        <v>114</v>
      </c>
      <c r="C78" s="162" t="s">
        <v>214</v>
      </c>
      <c r="D78" s="43">
        <f>LARGE(E78:N78, 1)+LARGE(E78:N78, 2)+LARGE(E78:N78, 3)+LARGE(E78:N78, 4)+LARGE(E78:N78, 5)</f>
        <v>3.9500000000000006E-9</v>
      </c>
      <c r="E78" s="43">
        <f t="shared" ref="E78:N78" si="54">C4</f>
        <v>1E-10</v>
      </c>
      <c r="F78" s="43">
        <f t="shared" si="54"/>
        <v>2.0000000000000001E-10</v>
      </c>
      <c r="G78" s="43">
        <f t="shared" si="54"/>
        <v>3E-10</v>
      </c>
      <c r="H78" s="43">
        <f t="shared" si="54"/>
        <v>4.0000000000000001E-10</v>
      </c>
      <c r="I78" s="43">
        <f t="shared" si="54"/>
        <v>5.0000000000000003E-10</v>
      </c>
      <c r="J78" s="43">
        <f t="shared" si="54"/>
        <v>6E-10</v>
      </c>
      <c r="K78" s="43">
        <f t="shared" si="54"/>
        <v>6.9999999999999996E-10</v>
      </c>
      <c r="L78" s="51">
        <f t="shared" si="54"/>
        <v>8.0000000000000003E-10</v>
      </c>
      <c r="M78" s="51">
        <f t="shared" si="54"/>
        <v>8.9999999999999999E-10</v>
      </c>
      <c r="N78" s="43">
        <f t="shared" si="54"/>
        <v>9.5000000000000003E-10</v>
      </c>
    </row>
    <row r="79" spans="1:20">
      <c r="A79" s="43" t="s">
        <v>208</v>
      </c>
      <c r="B79" s="43" t="s">
        <v>209</v>
      </c>
      <c r="C79" s="162" t="s">
        <v>214</v>
      </c>
      <c r="D79" s="43">
        <f>LARGE(E79:N79, 1)+LARGE(E79:N79, 2)+LARGE(E79:N79, 3)+LARGE(E79:N79, 4)+LARGE(E79:N79, 5)</f>
        <v>3.9500000000000006E-9</v>
      </c>
      <c r="E79" s="43">
        <f t="shared" ref="E79:N79" si="55">C4</f>
        <v>1E-10</v>
      </c>
      <c r="F79" s="43">
        <f t="shared" si="55"/>
        <v>2.0000000000000001E-10</v>
      </c>
      <c r="G79" s="43">
        <f t="shared" si="55"/>
        <v>3E-10</v>
      </c>
      <c r="H79" s="43">
        <f t="shared" si="55"/>
        <v>4.0000000000000001E-10</v>
      </c>
      <c r="I79" s="43">
        <f t="shared" si="55"/>
        <v>5.0000000000000003E-10</v>
      </c>
      <c r="J79" s="43">
        <f t="shared" si="55"/>
        <v>6E-10</v>
      </c>
      <c r="K79" s="43">
        <f t="shared" si="55"/>
        <v>6.9999999999999996E-10</v>
      </c>
      <c r="L79" s="51">
        <f t="shared" si="55"/>
        <v>8.0000000000000003E-10</v>
      </c>
      <c r="M79" s="51">
        <f t="shared" si="55"/>
        <v>8.9999999999999999E-10</v>
      </c>
      <c r="N79" s="43">
        <f t="shared" si="55"/>
        <v>9.5000000000000003E-10</v>
      </c>
    </row>
    <row r="80" spans="1:20">
      <c r="A80" s="43" t="s">
        <v>115</v>
      </c>
      <c r="B80" s="43" t="s">
        <v>116</v>
      </c>
      <c r="C80" s="162" t="s">
        <v>214</v>
      </c>
      <c r="D80" s="43">
        <f>LARGE(E80:N80, 1)+LARGE(E80:N80, 2)+LARGE(E80:N80, 3)+LARGE(E80:N80, 4)+LARGE(E80:N80, 5)</f>
        <v>3.9500000000000006E-9</v>
      </c>
      <c r="E80" s="43">
        <f t="shared" ref="E80:N80" si="56">C4</f>
        <v>1E-10</v>
      </c>
      <c r="F80" s="43">
        <f t="shared" si="56"/>
        <v>2.0000000000000001E-10</v>
      </c>
      <c r="G80" s="43">
        <f t="shared" si="56"/>
        <v>3E-10</v>
      </c>
      <c r="H80" s="43">
        <f t="shared" si="56"/>
        <v>4.0000000000000001E-10</v>
      </c>
      <c r="I80" s="43">
        <f t="shared" si="56"/>
        <v>5.0000000000000003E-10</v>
      </c>
      <c r="J80" s="43">
        <f t="shared" si="56"/>
        <v>6E-10</v>
      </c>
      <c r="K80" s="43">
        <f t="shared" si="56"/>
        <v>6.9999999999999996E-10</v>
      </c>
      <c r="L80" s="51">
        <f t="shared" si="56"/>
        <v>8.0000000000000003E-10</v>
      </c>
      <c r="M80" s="51">
        <f t="shared" si="56"/>
        <v>8.9999999999999999E-10</v>
      </c>
      <c r="N80" s="43">
        <f t="shared" si="56"/>
        <v>9.5000000000000003E-10</v>
      </c>
    </row>
    <row r="81" spans="1:20">
      <c r="A81" s="43" t="s">
        <v>117</v>
      </c>
      <c r="B81" s="43" t="s">
        <v>118</v>
      </c>
      <c r="C81" s="162" t="s">
        <v>215</v>
      </c>
      <c r="D81" s="43">
        <f>SUM(E81:H81)+LARGE(I81:N81,1)+LARGE(I81:N81,2)</f>
        <v>2.8499999999999999E-9</v>
      </c>
      <c r="E81" s="43">
        <f t="shared" ref="E81:N81" si="57">C4</f>
        <v>1E-10</v>
      </c>
      <c r="F81" s="43">
        <f t="shared" si="57"/>
        <v>2.0000000000000001E-10</v>
      </c>
      <c r="G81" s="43">
        <f t="shared" si="57"/>
        <v>3E-10</v>
      </c>
      <c r="H81" s="43">
        <f t="shared" si="57"/>
        <v>4.0000000000000001E-10</v>
      </c>
      <c r="I81" s="43">
        <f t="shared" si="57"/>
        <v>5.0000000000000003E-10</v>
      </c>
      <c r="J81" s="43">
        <f t="shared" si="57"/>
        <v>6E-10</v>
      </c>
      <c r="K81" s="43">
        <f t="shared" si="57"/>
        <v>6.9999999999999996E-10</v>
      </c>
      <c r="L81" s="51">
        <f t="shared" si="57"/>
        <v>8.0000000000000003E-10</v>
      </c>
      <c r="M81" s="51">
        <f t="shared" si="57"/>
        <v>8.9999999999999999E-10</v>
      </c>
      <c r="N81" s="43">
        <f t="shared" si="57"/>
        <v>9.5000000000000003E-10</v>
      </c>
    </row>
    <row r="82" spans="1:20">
      <c r="A82" s="43" t="s">
        <v>119</v>
      </c>
      <c r="B82" s="43" t="s">
        <v>175</v>
      </c>
      <c r="C82" s="162" t="s">
        <v>214</v>
      </c>
      <c r="D82" s="43">
        <f>LARGE(E82:N82, 1)+LARGE(E82:N82, 2)+LARGE(E82:N82, 3)+LARGE(E82:N82, 4)+LARGE(E82:N82, 5)</f>
        <v>3.9500000000000006E-9</v>
      </c>
      <c r="E82" s="43">
        <f>C4</f>
        <v>1E-10</v>
      </c>
      <c r="F82" s="43">
        <f>D4</f>
        <v>2.0000000000000001E-10</v>
      </c>
      <c r="G82" s="43">
        <f>E4</f>
        <v>3E-10</v>
      </c>
      <c r="H82" s="43">
        <f>F4</f>
        <v>4.0000000000000001E-10</v>
      </c>
      <c r="I82" s="43">
        <f>G4</f>
        <v>5.0000000000000003E-10</v>
      </c>
      <c r="J82" s="43">
        <f>IF(OR(H1="旅遊與款待"),H4*2,H4)</f>
        <v>6E-10</v>
      </c>
      <c r="K82" s="43">
        <f>IF(OR(I1="旅遊與款待"),I4*2,I4)</f>
        <v>6.9999999999999996E-10</v>
      </c>
      <c r="L82" s="51">
        <f>IF(OR(J1="旅遊與款待"),J4*2,J4)</f>
        <v>8.0000000000000003E-10</v>
      </c>
      <c r="M82" s="51">
        <f>IF(OR(K1="旅遊與款待"),K4*2,K4)</f>
        <v>8.9999999999999999E-10</v>
      </c>
      <c r="N82" s="43">
        <f>L4</f>
        <v>9.5000000000000003E-10</v>
      </c>
    </row>
    <row r="83" spans="1:20">
      <c r="A83" s="43" t="s">
        <v>176</v>
      </c>
      <c r="B83" s="43" t="s">
        <v>177</v>
      </c>
      <c r="C83" s="162" t="s">
        <v>214</v>
      </c>
      <c r="D83" s="43">
        <f>IF(G83&gt;I83,SUM(F83,G83)+LARGE((E83,H83:N83),1)+LARGE((E83,H83:N83),2)+LARGE((E83,H83:N83),3),SUM(F83,I83)+LARGE((E83,G83:H83,J83:N83),1)+LARGE((E83,G83:H83,J83:N83),2)+LARGE((E83,G83:H83,J83:N83),3))</f>
        <v>3.3500000000000002E-9</v>
      </c>
      <c r="E83" s="43">
        <f t="shared" ref="E83:N83" si="58">C4</f>
        <v>1E-10</v>
      </c>
      <c r="F83" s="43">
        <f t="shared" si="58"/>
        <v>2.0000000000000001E-10</v>
      </c>
      <c r="G83" s="43">
        <f t="shared" si="58"/>
        <v>3E-10</v>
      </c>
      <c r="H83" s="43">
        <f t="shared" si="58"/>
        <v>4.0000000000000001E-10</v>
      </c>
      <c r="I83" s="43">
        <f t="shared" si="58"/>
        <v>5.0000000000000003E-10</v>
      </c>
      <c r="J83" s="43">
        <f t="shared" si="58"/>
        <v>6E-10</v>
      </c>
      <c r="K83" s="43">
        <f t="shared" si="58"/>
        <v>6.9999999999999996E-10</v>
      </c>
      <c r="L83" s="51">
        <f t="shared" si="58"/>
        <v>8.0000000000000003E-10</v>
      </c>
      <c r="M83" s="51">
        <f t="shared" si="58"/>
        <v>8.9999999999999999E-10</v>
      </c>
      <c r="N83" s="43">
        <f t="shared" si="58"/>
        <v>9.5000000000000003E-10</v>
      </c>
    </row>
    <row r="84" spans="1:20" ht="16.5">
      <c r="A84" s="43" t="s">
        <v>120</v>
      </c>
      <c r="B84" s="43" t="s">
        <v>178</v>
      </c>
      <c r="C84" s="162" t="s">
        <v>214</v>
      </c>
      <c r="D84" s="43">
        <f>LARGE(E84:N84, 1)+LARGE(E84:N84, 2)+LARGE(E84:N84, 3)+LARGE(E84:N84, 4)+LARGE(E84:N84, 5)</f>
        <v>3.9500000000000006E-9</v>
      </c>
      <c r="E84" s="43">
        <f t="shared" ref="E84:N84" si="59">C4</f>
        <v>1E-10</v>
      </c>
      <c r="F84" s="43">
        <f t="shared" si="59"/>
        <v>2.0000000000000001E-10</v>
      </c>
      <c r="G84" s="43">
        <f t="shared" si="59"/>
        <v>3E-10</v>
      </c>
      <c r="H84" s="43">
        <f t="shared" si="59"/>
        <v>4.0000000000000001E-10</v>
      </c>
      <c r="I84" s="43">
        <f t="shared" si="59"/>
        <v>5.0000000000000003E-10</v>
      </c>
      <c r="J84" s="43">
        <f t="shared" si="59"/>
        <v>6E-10</v>
      </c>
      <c r="K84" s="43">
        <f t="shared" si="59"/>
        <v>6.9999999999999996E-10</v>
      </c>
      <c r="L84" s="51">
        <f t="shared" si="59"/>
        <v>8.0000000000000003E-10</v>
      </c>
      <c r="M84" s="51">
        <f t="shared" si="59"/>
        <v>8.9999999999999999E-10</v>
      </c>
      <c r="N84" s="43">
        <f t="shared" si="59"/>
        <v>9.5000000000000003E-10</v>
      </c>
      <c r="O84" s="44" t="str">
        <f>G1</f>
        <v>數學延伸</v>
      </c>
      <c r="P84" s="44" t="str">
        <f>H1</f>
        <v>請選擇第一選修科</v>
      </c>
      <c r="Q84" s="44" t="str">
        <f>I1</f>
        <v>請選擇第二選修科</v>
      </c>
      <c r="R84" s="44" t="str">
        <f>J1</f>
        <v>請選擇第三選修科</v>
      </c>
      <c r="S84" s="44" t="str">
        <f>K1</f>
        <v>請選擇第四選修科</v>
      </c>
      <c r="T84" s="44" t="s">
        <v>227</v>
      </c>
    </row>
    <row r="85" spans="1:20">
      <c r="A85" s="43" t="s">
        <v>179</v>
      </c>
      <c r="B85" s="43" t="s">
        <v>180</v>
      </c>
      <c r="C85" s="162" t="s">
        <v>214</v>
      </c>
      <c r="D85" s="43">
        <f>LARGE(E85:N85, 1)+LARGE(E85:N85, 2)+LARGE(E85:N85, 3)+LARGE(E85:N85, 4)+LARGE(E85:N85, 5)</f>
        <v>4.1000000000000003E-9</v>
      </c>
      <c r="E85" s="43">
        <f>C4</f>
        <v>1E-10</v>
      </c>
      <c r="F85" s="43">
        <f>D4*2</f>
        <v>4.0000000000000001E-10</v>
      </c>
      <c r="G85" s="43">
        <f>E4*2</f>
        <v>6E-10</v>
      </c>
      <c r="H85" s="43">
        <f>F4</f>
        <v>4.0000000000000001E-10</v>
      </c>
      <c r="I85" s="43">
        <f>IF(I64=T85,G4*1.5,G4)</f>
        <v>7.500000000000001E-10</v>
      </c>
      <c r="J85" s="43">
        <f>IF(J64=T85,H4*1.5,H4)</f>
        <v>6E-10</v>
      </c>
      <c r="K85" s="43">
        <f>IF(K64=T85,I4*1.5,I4)</f>
        <v>6.9999999999999996E-10</v>
      </c>
      <c r="L85" s="51">
        <f>IF(L64=T85,J4*1.5,J4)</f>
        <v>8.0000000000000003E-10</v>
      </c>
      <c r="M85" s="51">
        <f>IF(M64=T85,K4*1.5,K4)</f>
        <v>8.9999999999999999E-10</v>
      </c>
      <c r="N85" s="43">
        <f>L4</f>
        <v>9.5000000000000003E-10</v>
      </c>
      <c r="O85" s="43">
        <f>G4</f>
        <v>5.0000000000000003E-10</v>
      </c>
      <c r="P85" s="43">
        <f>IF(OR(H1="物理",H1="化學"),H4,0)</f>
        <v>0</v>
      </c>
      <c r="Q85" s="43">
        <f>IF(OR(I1="物理",I1="化學"),I4,0)</f>
        <v>0</v>
      </c>
      <c r="R85" s="43">
        <f>IF(OR(J1="物理",J1="化學"),J4,0)</f>
        <v>0</v>
      </c>
      <c r="S85" s="43">
        <f>IF(OR(K1="物理",K1="化學"),K4,0)</f>
        <v>0</v>
      </c>
      <c r="T85" s="43" t="str">
        <f>INDEX(G$1:K$1,MATCH(LARGE(O85:S85,1),O85:S85,0))</f>
        <v>數學延伸</v>
      </c>
    </row>
    <row r="86" spans="1:20">
      <c r="A86" s="43" t="s">
        <v>121</v>
      </c>
      <c r="B86" s="43" t="s">
        <v>122</v>
      </c>
      <c r="C86" s="162" t="s">
        <v>215</v>
      </c>
      <c r="D86" s="43">
        <f>SUM(E86:H86)+LARGE(I86:N86,1)+LARGE(I86:N86,2)</f>
        <v>2.8499999999999999E-9</v>
      </c>
      <c r="E86" s="43">
        <f t="shared" ref="E86:N86" si="60">C4</f>
        <v>1E-10</v>
      </c>
      <c r="F86" s="43">
        <f t="shared" si="60"/>
        <v>2.0000000000000001E-10</v>
      </c>
      <c r="G86" s="43">
        <f t="shared" si="60"/>
        <v>3E-10</v>
      </c>
      <c r="H86" s="43">
        <f t="shared" si="60"/>
        <v>4.0000000000000001E-10</v>
      </c>
      <c r="I86" s="43">
        <f t="shared" si="60"/>
        <v>5.0000000000000003E-10</v>
      </c>
      <c r="J86" s="43">
        <f t="shared" si="60"/>
        <v>6E-10</v>
      </c>
      <c r="K86" s="43">
        <f t="shared" si="60"/>
        <v>6.9999999999999996E-10</v>
      </c>
      <c r="L86" s="51">
        <f t="shared" si="60"/>
        <v>8.0000000000000003E-10</v>
      </c>
      <c r="M86" s="51">
        <f t="shared" si="60"/>
        <v>8.9999999999999999E-10</v>
      </c>
      <c r="N86" s="43">
        <f t="shared" si="60"/>
        <v>9.5000000000000003E-10</v>
      </c>
    </row>
    <row r="87" spans="1:20">
      <c r="A87" s="43" t="s">
        <v>181</v>
      </c>
      <c r="B87" s="43" t="s">
        <v>182</v>
      </c>
      <c r="C87" s="162" t="s">
        <v>215</v>
      </c>
      <c r="D87" s="43">
        <f>SUM(E87:H87)+LARGE(I87:N87,1)+LARGE(I87:N87,2)</f>
        <v>3.4999999999999999E-9</v>
      </c>
      <c r="E87" s="43">
        <f>C4*1.5</f>
        <v>1.5E-10</v>
      </c>
      <c r="F87" s="43">
        <f>D4*2</f>
        <v>4.0000000000000001E-10</v>
      </c>
      <c r="G87" s="43">
        <f>E4</f>
        <v>3E-10</v>
      </c>
      <c r="H87" s="43">
        <f>F4*2</f>
        <v>8.0000000000000003E-10</v>
      </c>
      <c r="I87" s="43">
        <f t="shared" ref="I87:N87" si="61">G4</f>
        <v>5.0000000000000003E-10</v>
      </c>
      <c r="J87" s="43">
        <f t="shared" si="61"/>
        <v>6E-10</v>
      </c>
      <c r="K87" s="43">
        <f t="shared" si="61"/>
        <v>6.9999999999999996E-10</v>
      </c>
      <c r="L87" s="51">
        <f t="shared" si="61"/>
        <v>8.0000000000000003E-10</v>
      </c>
      <c r="M87" s="51">
        <f t="shared" si="61"/>
        <v>8.9999999999999999E-10</v>
      </c>
      <c r="N87" s="43">
        <f t="shared" si="61"/>
        <v>9.5000000000000003E-10</v>
      </c>
    </row>
    <row r="88" spans="1:20">
      <c r="A88" s="43" t="s">
        <v>123</v>
      </c>
      <c r="B88" s="43" t="s">
        <v>183</v>
      </c>
      <c r="C88" s="162" t="s">
        <v>214</v>
      </c>
      <c r="D88" s="43">
        <f>LARGE(E88:N88, 1)+LARGE(E88:N88, 2)+LARGE(E88:N88, 3)+LARGE(E88:N88, 4)+LARGE(E88:N88, 5)</f>
        <v>4.3500000000000001E-9</v>
      </c>
      <c r="E88" s="43">
        <f>C4</f>
        <v>1E-10</v>
      </c>
      <c r="F88" s="43">
        <f>D4*2</f>
        <v>4.0000000000000001E-10</v>
      </c>
      <c r="G88" s="43">
        <f>E4*2</f>
        <v>6E-10</v>
      </c>
      <c r="H88" s="43">
        <f>F4</f>
        <v>4.0000000000000001E-10</v>
      </c>
      <c r="I88" s="43">
        <f>G4*2</f>
        <v>1.0000000000000001E-9</v>
      </c>
      <c r="J88" s="43">
        <f>H4</f>
        <v>6E-10</v>
      </c>
      <c r="K88" s="43">
        <f>I4</f>
        <v>6.9999999999999996E-10</v>
      </c>
      <c r="L88" s="51">
        <f>J4</f>
        <v>8.0000000000000003E-10</v>
      </c>
      <c r="M88" s="51">
        <f>K4</f>
        <v>8.9999999999999999E-10</v>
      </c>
      <c r="N88" s="43">
        <f>L4</f>
        <v>9.5000000000000003E-10</v>
      </c>
    </row>
    <row r="89" spans="1:20">
      <c r="A89" s="43" t="s">
        <v>124</v>
      </c>
      <c r="B89" s="43" t="s">
        <v>125</v>
      </c>
      <c r="C89" s="162" t="s">
        <v>215</v>
      </c>
      <c r="D89" s="43">
        <f>SUM(E89:H89)+LARGE(I89:N89,1)+LARGE(I89:N89,2)</f>
        <v>2.8499999999999999E-9</v>
      </c>
      <c r="E89" s="43">
        <f t="shared" ref="E89:N89" si="62">C4</f>
        <v>1E-10</v>
      </c>
      <c r="F89" s="43">
        <f t="shared" si="62"/>
        <v>2.0000000000000001E-10</v>
      </c>
      <c r="G89" s="43">
        <f t="shared" si="62"/>
        <v>3E-10</v>
      </c>
      <c r="H89" s="43">
        <f t="shared" si="62"/>
        <v>4.0000000000000001E-10</v>
      </c>
      <c r="I89" s="43">
        <f t="shared" si="62"/>
        <v>5.0000000000000003E-10</v>
      </c>
      <c r="J89" s="43">
        <f t="shared" si="62"/>
        <v>6E-10</v>
      </c>
      <c r="K89" s="43">
        <f t="shared" si="62"/>
        <v>6.9999999999999996E-10</v>
      </c>
      <c r="L89" s="51">
        <f t="shared" si="62"/>
        <v>8.0000000000000003E-10</v>
      </c>
      <c r="M89" s="51">
        <f t="shared" si="62"/>
        <v>8.9999999999999999E-10</v>
      </c>
      <c r="N89" s="43">
        <f t="shared" si="62"/>
        <v>9.5000000000000003E-10</v>
      </c>
    </row>
    <row r="90" spans="1:20">
      <c r="A90" s="43" t="s">
        <v>126</v>
      </c>
      <c r="B90" s="43" t="s">
        <v>210</v>
      </c>
      <c r="C90" s="162" t="s">
        <v>214</v>
      </c>
      <c r="D90" s="43">
        <f>LARGE(E90:N90, 1)+LARGE(E90:N90, 2)+LARGE(E90:N90, 3)+LARGE(E90:N90, 4)+LARGE(E90:N90, 5)</f>
        <v>3.9500000000000006E-9</v>
      </c>
      <c r="E90" s="43">
        <f t="shared" ref="E90:N90" si="63">C4</f>
        <v>1E-10</v>
      </c>
      <c r="F90" s="43">
        <f t="shared" si="63"/>
        <v>2.0000000000000001E-10</v>
      </c>
      <c r="G90" s="43">
        <f t="shared" si="63"/>
        <v>3E-10</v>
      </c>
      <c r="H90" s="43">
        <f t="shared" si="63"/>
        <v>4.0000000000000001E-10</v>
      </c>
      <c r="I90" s="43">
        <f t="shared" si="63"/>
        <v>5.0000000000000003E-10</v>
      </c>
      <c r="J90" s="43">
        <f t="shared" si="63"/>
        <v>6E-10</v>
      </c>
      <c r="K90" s="43">
        <f t="shared" si="63"/>
        <v>6.9999999999999996E-10</v>
      </c>
      <c r="L90" s="51">
        <f t="shared" si="63"/>
        <v>8.0000000000000003E-10</v>
      </c>
      <c r="M90" s="51">
        <f t="shared" si="63"/>
        <v>8.9999999999999999E-10</v>
      </c>
      <c r="N90" s="43">
        <f t="shared" si="63"/>
        <v>9.5000000000000003E-10</v>
      </c>
    </row>
    <row r="91" spans="1:20">
      <c r="A91" s="43" t="s">
        <v>127</v>
      </c>
      <c r="B91" s="43" t="s">
        <v>128</v>
      </c>
      <c r="C91" s="162" t="s">
        <v>214</v>
      </c>
      <c r="D91" s="43">
        <f>E91+LARGE(F91:N91, 1)+LARGE(F91:N91, 2)+LARGE(F91:N91, 3)+LARGE(F91:N91, 4)</f>
        <v>3.4999999999999999E-9</v>
      </c>
      <c r="E91" s="43">
        <f>C4*1.5</f>
        <v>1.5E-10</v>
      </c>
      <c r="F91" s="43">
        <f t="shared" ref="F91:N91" si="64">D4</f>
        <v>2.0000000000000001E-10</v>
      </c>
      <c r="G91" s="43">
        <f t="shared" si="64"/>
        <v>3E-10</v>
      </c>
      <c r="H91" s="43">
        <f t="shared" si="64"/>
        <v>4.0000000000000001E-10</v>
      </c>
      <c r="I91" s="43">
        <f t="shared" si="64"/>
        <v>5.0000000000000003E-10</v>
      </c>
      <c r="J91" s="43">
        <f t="shared" si="64"/>
        <v>6E-10</v>
      </c>
      <c r="K91" s="43">
        <f t="shared" si="64"/>
        <v>6.9999999999999996E-10</v>
      </c>
      <c r="L91" s="51">
        <f t="shared" si="64"/>
        <v>8.0000000000000003E-10</v>
      </c>
      <c r="M91" s="51">
        <f t="shared" si="64"/>
        <v>8.9999999999999999E-10</v>
      </c>
      <c r="N91" s="43">
        <f t="shared" si="64"/>
        <v>9.5000000000000003E-10</v>
      </c>
    </row>
    <row r="92" spans="1:20">
      <c r="A92" s="43" t="s">
        <v>129</v>
      </c>
      <c r="B92" s="43" t="s">
        <v>130</v>
      </c>
      <c r="C92" s="162" t="s">
        <v>214</v>
      </c>
      <c r="D92" s="43">
        <f>F92+LARGE((E92,G92:N92),1)+LARGE((E92,G92:N92),2)+LARGE((E92,G92:N92),3)+LARGE((E92,G92:N92),4)</f>
        <v>3.6500000000000004E-9</v>
      </c>
      <c r="E92" s="43">
        <f>C4</f>
        <v>1E-10</v>
      </c>
      <c r="F92" s="43">
        <f>D4*1.5</f>
        <v>3E-10</v>
      </c>
      <c r="G92" s="43">
        <f t="shared" ref="G92:N92" si="65">E4</f>
        <v>3E-10</v>
      </c>
      <c r="H92" s="43">
        <f t="shared" si="65"/>
        <v>4.0000000000000001E-10</v>
      </c>
      <c r="I92" s="43">
        <f t="shared" si="65"/>
        <v>5.0000000000000003E-10</v>
      </c>
      <c r="J92" s="43">
        <f t="shared" si="65"/>
        <v>6E-10</v>
      </c>
      <c r="K92" s="43">
        <f t="shared" si="65"/>
        <v>6.9999999999999996E-10</v>
      </c>
      <c r="L92" s="51">
        <f t="shared" si="65"/>
        <v>8.0000000000000003E-10</v>
      </c>
      <c r="M92" s="51">
        <f t="shared" si="65"/>
        <v>8.9999999999999999E-10</v>
      </c>
      <c r="N92" s="43">
        <f t="shared" si="65"/>
        <v>9.5000000000000003E-10</v>
      </c>
    </row>
    <row r="93" spans="1:20">
      <c r="A93" s="43" t="s">
        <v>131</v>
      </c>
      <c r="B93" s="43" t="s">
        <v>132</v>
      </c>
      <c r="C93" s="162" t="s">
        <v>214</v>
      </c>
      <c r="D93" s="43">
        <f>G93+I93+LARGE((E93:F93,H93,J93:N93),1)+LARGE((E93:F93,H93,J93:N93),2)+LARGE((E93:F93,H93,J93:N93),3)</f>
        <v>3.8499999999999997E-9</v>
      </c>
      <c r="E93" s="43">
        <f>C4*1.2</f>
        <v>1.2E-10</v>
      </c>
      <c r="F93" s="43">
        <f>D4*1.2</f>
        <v>2.4E-10</v>
      </c>
      <c r="G93" s="43">
        <f>E4*1.5</f>
        <v>4.5E-10</v>
      </c>
      <c r="H93" s="43">
        <f>F4</f>
        <v>4.0000000000000001E-10</v>
      </c>
      <c r="I93" s="43">
        <f>G4*1.5</f>
        <v>7.500000000000001E-10</v>
      </c>
      <c r="J93" s="43">
        <f>H4</f>
        <v>6E-10</v>
      </c>
      <c r="K93" s="43">
        <f>I4</f>
        <v>6.9999999999999996E-10</v>
      </c>
      <c r="L93" s="51">
        <f>J4</f>
        <v>8.0000000000000003E-10</v>
      </c>
      <c r="M93" s="51">
        <f>K4</f>
        <v>8.9999999999999999E-10</v>
      </c>
      <c r="N93" s="43">
        <f>L4</f>
        <v>9.5000000000000003E-10</v>
      </c>
    </row>
    <row r="94" spans="1:20">
      <c r="A94" s="43" t="s">
        <v>211</v>
      </c>
      <c r="B94" s="43" t="s">
        <v>206</v>
      </c>
      <c r="C94" s="162" t="s">
        <v>214</v>
      </c>
      <c r="D94" s="43">
        <f>LARGE(E94:N94, 1)+LARGE(E94:N94, 2)+LARGE(E94:N94, 3)+LARGE(E94:N94, 4)+LARGE(E94:N94, 5)</f>
        <v>3.9500000000000006E-9</v>
      </c>
      <c r="E94" s="43">
        <f t="shared" ref="E94:N94" si="66">C4</f>
        <v>1E-10</v>
      </c>
      <c r="F94" s="43">
        <f t="shared" si="66"/>
        <v>2.0000000000000001E-10</v>
      </c>
      <c r="G94" s="43">
        <f t="shared" si="66"/>
        <v>3E-10</v>
      </c>
      <c r="H94" s="43">
        <f t="shared" si="66"/>
        <v>4.0000000000000001E-10</v>
      </c>
      <c r="I94" s="43">
        <f t="shared" si="66"/>
        <v>5.0000000000000003E-10</v>
      </c>
      <c r="J94" s="43">
        <f t="shared" si="66"/>
        <v>6E-10</v>
      </c>
      <c r="K94" s="43">
        <f t="shared" si="66"/>
        <v>6.9999999999999996E-10</v>
      </c>
      <c r="L94" s="51">
        <f t="shared" si="66"/>
        <v>8.0000000000000003E-10</v>
      </c>
      <c r="M94" s="51">
        <f t="shared" si="66"/>
        <v>8.9999999999999999E-10</v>
      </c>
      <c r="N94" s="43">
        <f t="shared" si="66"/>
        <v>9.5000000000000003E-10</v>
      </c>
    </row>
    <row r="95" spans="1:20">
      <c r="A95" s="43" t="s">
        <v>133</v>
      </c>
      <c r="B95" s="43" t="s">
        <v>216</v>
      </c>
      <c r="C95" s="162" t="s">
        <v>214</v>
      </c>
      <c r="D95" s="43">
        <f>LARGE(E95:N95, 1)+LARGE(E95:N95, 2)+LARGE(E95:N95, 3)+LARGE(E95:N95, 4)+LARGE(E95:N95, 5)</f>
        <v>4.2249999999999998E-9</v>
      </c>
      <c r="E95" s="43">
        <f>C4</f>
        <v>1E-10</v>
      </c>
      <c r="F95" s="43">
        <f>D4</f>
        <v>2.0000000000000001E-10</v>
      </c>
      <c r="G95" s="43">
        <f>E4*1.5</f>
        <v>4.5E-10</v>
      </c>
      <c r="H95" s="43">
        <f>F4*0.5</f>
        <v>2.0000000000000001E-10</v>
      </c>
      <c r="I95" s="43">
        <f>G4*1.75</f>
        <v>8.7500000000000008E-10</v>
      </c>
      <c r="J95" s="43">
        <f>IF(OR(H1="物理",H1="化學",H1="生物",H1="組合科學 (物理、化學)",H1="組合科學 (生物、化學)",H1="組合科學 (物理、生物)",H1="資訊及通訊科技",H1="設計與應用科技"),H4*1.5,H4)</f>
        <v>6E-10</v>
      </c>
      <c r="K95" s="43">
        <f>IF(OR(I1="物理",I1="化學",I1="生物",I1="組合科學 (物理、化學)",I1="組合科學 (生物、化學)",I1="組合科學 (物理、生物)",I1="資訊及通訊科技",I1="設計與應用科技"),I4*1.5,I4)</f>
        <v>6.9999999999999996E-10</v>
      </c>
      <c r="L95" s="51">
        <f>IF(OR(J1="物理",J1="化學",J1="生物",J1="組合科學 (物理、化學)",J1="組合科學 (生物、化學)",J1="組合科學 (物理、生物)",J1="資訊及通訊科技",J1="設計與應用科技"),J4*1.5,J4)</f>
        <v>8.0000000000000003E-10</v>
      </c>
      <c r="M95" s="51">
        <f>IF(OR(K1="物理",K1="化學",K1="生物",K1="組合科學 (物理、化學)",K1="組合科學 (生物、化學)",K1="組合科學 (物理、生物)",K1="資訊及通訊科技",K1="設計與應用科技"),K4*1.5,K4)</f>
        <v>8.9999999999999999E-10</v>
      </c>
      <c r="N95" s="43">
        <f>L4</f>
        <v>9.5000000000000003E-10</v>
      </c>
    </row>
    <row r="96" spans="1:20">
      <c r="A96" s="43" t="s">
        <v>184</v>
      </c>
      <c r="B96" s="43" t="s">
        <v>185</v>
      </c>
      <c r="C96" s="162" t="s">
        <v>214</v>
      </c>
      <c r="D96" s="43">
        <f t="shared" ref="D96:D100" si="67">LARGE(E96:N96, 1)+LARGE(E96:N96, 2)+LARGE(E96:N96, 3)+LARGE(E96:N96, 4)+LARGE(E96:N96, 5)</f>
        <v>4.2249999999999998E-9</v>
      </c>
      <c r="E96" s="43">
        <f>C4*1.25</f>
        <v>1.2500000000000001E-10</v>
      </c>
      <c r="F96" s="43">
        <f>D4*1.25</f>
        <v>2.5000000000000002E-10</v>
      </c>
      <c r="G96" s="43">
        <f>E4*1.75</f>
        <v>5.2499999999999994E-10</v>
      </c>
      <c r="H96" s="43">
        <f>F4</f>
        <v>4.0000000000000001E-10</v>
      </c>
      <c r="I96" s="43">
        <f>G4*1.75</f>
        <v>8.7500000000000008E-10</v>
      </c>
      <c r="J96" s="43">
        <f>IF(OR(H1="物理",H1="化學",H1="生物",H1="組合科學 (物理、化學)",H1="組合科學 (生物、化學)",H1="組合科學 (物理、生物)",H1="資訊及通訊科技",H1="經濟",H1="企業、會計與財務概論"),H4*1.5,H4)</f>
        <v>6E-10</v>
      </c>
      <c r="K96" s="43">
        <f>IF(OR(I1="物理",I1="化學",I1="生物",I1="組合科學 (物理、化學)",I1="組合科學 (生物、化學)",I1="組合科學 (物理、生物)",I1="資訊及通訊科技",I1="經濟",I1="企業、會計與財務概論"),I4*1.5,I4)</f>
        <v>6.9999999999999996E-10</v>
      </c>
      <c r="L96" s="51">
        <f>IF(OR(J1="物理",J1="化學",J1="生物",J1="組合科學 (物理、化學)",J1="組合科學 (生物、化學)",J1="組合科學 (物理、生物)",J1="資訊及通訊科技",J1="經濟",J1="企業、會計與財務概論"),J4*1.5,J4)</f>
        <v>8.0000000000000003E-10</v>
      </c>
      <c r="M96" s="51">
        <f>IF(OR(K1="物理",K1="化學",K1="生物",K1="組合科學 (物理、化學)",K1="組合科學 (生物、化學)",K1="組合科學 (物理、生物)",K1="資訊及通訊科技",K1="經濟",K1="企業、會計與財務概論"),K4*1.5,K4)</f>
        <v>8.9999999999999999E-10</v>
      </c>
      <c r="N96" s="43">
        <f>L4</f>
        <v>9.5000000000000003E-10</v>
      </c>
    </row>
    <row r="97" spans="1:26" ht="16.5">
      <c r="A97" s="43" t="s">
        <v>186</v>
      </c>
      <c r="B97" s="43" t="s">
        <v>187</v>
      </c>
      <c r="C97" s="162" t="s">
        <v>214</v>
      </c>
      <c r="D97" s="43">
        <f t="shared" si="67"/>
        <v>4.1000000000000003E-9</v>
      </c>
      <c r="E97" s="43">
        <f>C4</f>
        <v>1E-10</v>
      </c>
      <c r="F97" s="43">
        <f>D4</f>
        <v>2.0000000000000001E-10</v>
      </c>
      <c r="G97" s="43">
        <f>E4*1.5</f>
        <v>4.5E-10</v>
      </c>
      <c r="H97" s="43">
        <f>F4</f>
        <v>4.0000000000000001E-10</v>
      </c>
      <c r="I97" s="43">
        <f>G4*1.5</f>
        <v>7.500000000000001E-10</v>
      </c>
      <c r="J97" s="43">
        <f>IF(OR(H1="物理"),H4*1.5,H4)</f>
        <v>6E-10</v>
      </c>
      <c r="K97" s="43">
        <f>IF(OR(I1="物理"),I4*1.5,I4)</f>
        <v>6.9999999999999996E-10</v>
      </c>
      <c r="L97" s="51">
        <f>IF(OR(J1="物理"),J4*1.5,J4)</f>
        <v>8.0000000000000003E-10</v>
      </c>
      <c r="M97" s="51">
        <f>IF(OR(K1="物理"),K4*1.5,K4)</f>
        <v>8.9999999999999999E-10</v>
      </c>
      <c r="N97" s="43">
        <f>L4</f>
        <v>9.5000000000000003E-10</v>
      </c>
      <c r="O97" s="44" t="s">
        <v>3</v>
      </c>
      <c r="P97" s="44"/>
      <c r="Q97" s="44" t="s">
        <v>86</v>
      </c>
      <c r="S97" s="44" t="s">
        <v>223</v>
      </c>
    </row>
    <row r="98" spans="1:26">
      <c r="A98" s="43" t="s">
        <v>188</v>
      </c>
      <c r="B98" s="43" t="s">
        <v>189</v>
      </c>
      <c r="C98" s="162" t="s">
        <v>214</v>
      </c>
      <c r="D98" s="43">
        <f t="shared" si="67"/>
        <v>4.1000000000000003E-9</v>
      </c>
      <c r="E98" s="43">
        <f>C4</f>
        <v>1E-10</v>
      </c>
      <c r="F98" s="43">
        <f>D4*1.5</f>
        <v>3E-10</v>
      </c>
      <c r="G98" s="43">
        <f>IF(E1=S98,E4*1.5,E4)</f>
        <v>3E-10</v>
      </c>
      <c r="H98" s="43">
        <f>F4</f>
        <v>4.0000000000000001E-10</v>
      </c>
      <c r="I98" s="43">
        <f>IF(G1=S98,G4*1.5,G4)</f>
        <v>7.500000000000001E-10</v>
      </c>
      <c r="J98" s="43">
        <f>IF(OR(H1="物理",H1="化學",H1="生物",H1="組合科學 (物理、化學)",H1="組合科學 (生物、化學)",H1="組合科學 (物理、生物)"),H4*1.5,H4)</f>
        <v>6E-10</v>
      </c>
      <c r="K98" s="43">
        <f>IF(OR(I1="物理",I1="化學",I1="生物",I1="組合科學 (物理、化學)",I1="組合科學 (生物、化學)",I1="組合科學 (物理、生物)"),I4*1.5,I4)</f>
        <v>6.9999999999999996E-10</v>
      </c>
      <c r="L98" s="51">
        <f>IF(OR(J1="物理",J1="化學",J1="生物",J1="組合科學 (物理、化學)",J1="組合科學 (生物、化學)",J1="組合科學 (物理、生物)"),J4*1.5,J4)</f>
        <v>8.0000000000000003E-10</v>
      </c>
      <c r="M98" s="51">
        <f>IF(OR(K1="物理",K1="化學",K1="生物",K1="組合科學 (物理、化學)",K1="組合科學 (生物、化學)",K1="組合科學 (物理、生物)"),K4*1.5,K4)</f>
        <v>8.9999999999999999E-10</v>
      </c>
      <c r="N98" s="43">
        <f>L4</f>
        <v>9.5000000000000003E-10</v>
      </c>
      <c r="O98" s="43">
        <f>E4</f>
        <v>3E-10</v>
      </c>
      <c r="Q98" s="43">
        <f>G4</f>
        <v>5.0000000000000003E-10</v>
      </c>
      <c r="S98" s="43" t="str">
        <f>INDEX(E$1:G$1,MATCH(LARGE(O98:Q98,1),O98:Q98,0))</f>
        <v>數學延伸</v>
      </c>
    </row>
    <row r="99" spans="1:26">
      <c r="A99" s="43" t="s">
        <v>190</v>
      </c>
      <c r="B99" s="43" t="s">
        <v>191</v>
      </c>
      <c r="C99" s="162" t="s">
        <v>214</v>
      </c>
      <c r="D99" s="43">
        <f t="shared" si="67"/>
        <v>4.1000000000000003E-9</v>
      </c>
      <c r="E99" s="43">
        <f>C4</f>
        <v>1E-10</v>
      </c>
      <c r="F99" s="43">
        <f>D4</f>
        <v>2.0000000000000001E-10</v>
      </c>
      <c r="G99" s="43">
        <f>E4*1.5</f>
        <v>4.5E-10</v>
      </c>
      <c r="H99" s="43">
        <f>F4</f>
        <v>4.0000000000000001E-10</v>
      </c>
      <c r="I99" s="43">
        <f>G4*1.5</f>
        <v>7.500000000000001E-10</v>
      </c>
      <c r="J99" s="43">
        <f>IF(OR(H1="物理",H1="化學",H1="生物",H1="組合科學 (物理、化學)",H1="組合科學 (生物、化學)",H1="組合科學 (物理、生物)",H1="資訊及通訊科技",H1="經濟",H1="企業、會計與財務概論"),H4*1.5,IF(OR(H1="經濟",H1="地理"),H4*1.2,H4))</f>
        <v>6E-10</v>
      </c>
      <c r="K99" s="43">
        <f>IF(OR(I1="物理",I1="化學",I1="生物",I1="組合科學 (物理、化學)",I1="組合科學 (生物、化學)",I1="組合科學 (物理、生物)",I1="資訊及通訊科技",I1="經濟",I1="企業、會計與財務概論"),I4*1.5,IF(OR(I1="經濟",I1="地理"),I4*1.2,I4))</f>
        <v>6.9999999999999996E-10</v>
      </c>
      <c r="L99" s="51">
        <f>IF(OR(J1="物理",J1="化學",J1="生物",J1="組合科學 (物理、化學)",J1="組合科學 (生物、化學)",J1="組合科學 (物理、生物)",J1="資訊及通訊科技",J1="經濟",J1="企業、會計與財務概論"),J4*1.5,IF(OR(J1="經濟",J1="地理"),J4*1.2,J4))</f>
        <v>8.0000000000000003E-10</v>
      </c>
      <c r="M99" s="51">
        <f>IF(OR(K1="物理",K1="化學",K1="生物",K1="組合科學 (物理、化學)",K1="組合科學 (生物、化學)",K1="組合科學 (物理、生物)",K1="資訊及通訊科技",K1="經濟",K1="企業、會計與財務概論"),K4*1.5,IF(OR(K1="經濟",K1="地理"),K4*1.2,K4))</f>
        <v>8.9999999999999999E-10</v>
      </c>
      <c r="N99" s="43">
        <f>L4</f>
        <v>9.5000000000000003E-10</v>
      </c>
    </row>
    <row r="100" spans="1:26" ht="16.5">
      <c r="A100" s="43" t="s">
        <v>212</v>
      </c>
      <c r="B100" s="43" t="s">
        <v>217</v>
      </c>
      <c r="C100" s="162" t="s">
        <v>214</v>
      </c>
      <c r="D100" s="43">
        <f t="shared" si="67"/>
        <v>4.2249999999999998E-9</v>
      </c>
      <c r="E100" s="43">
        <f>C4*1.25</f>
        <v>1.2500000000000001E-10</v>
      </c>
      <c r="F100" s="43">
        <f>D4*1.25</f>
        <v>2.5000000000000002E-10</v>
      </c>
      <c r="G100" s="43">
        <f>E4*1.75</f>
        <v>5.2499999999999994E-10</v>
      </c>
      <c r="H100" s="43">
        <f>F4</f>
        <v>4.0000000000000001E-10</v>
      </c>
      <c r="I100" s="43">
        <f>G4*1.75</f>
        <v>8.7500000000000008E-10</v>
      </c>
      <c r="J100" s="43">
        <f>IF(OR(H1="物理",H1="化學",H1="生物",H1="組合科學 (物理、化學)",H1="組合科學 (生物、化學)",H1="組合科學 (物理、生物)",H1="資訊及通訊科技"),H4*1.5,H4)</f>
        <v>6E-10</v>
      </c>
      <c r="K100" s="43">
        <f>IF(OR(I1="物理",I1="化學",I1="生物",I1="組合科學 (物理、化學)",I1="組合科學 (生物、化學)",I1="組合科學 (物理、生物)",I1="資訊及通訊科技"),I4*1.5,I4)</f>
        <v>6.9999999999999996E-10</v>
      </c>
      <c r="L100" s="51">
        <f>IF(OR(J1="物理",J1="化學",J1="生物",J1="組合科學 (物理、化學)",J1="組合科學 (生物、化學)",J1="組合科學 (物理、生物)",J1="資訊及通訊科技"),J4*1.5,J4)</f>
        <v>8.0000000000000003E-10</v>
      </c>
      <c r="M100" s="51">
        <f>IF(OR(K1="物理",K1="化學",K1="生物",K1="組合科學 (物理、化學)",K1="組合科學 (生物、化學)",K1="組合科學 (物理、生物)",K1="資訊及通訊科技"),K4*1.5,K4)</f>
        <v>8.9999999999999999E-10</v>
      </c>
      <c r="N100" s="43">
        <f>L4</f>
        <v>9.5000000000000003E-10</v>
      </c>
      <c r="P100" s="44" t="s">
        <v>845</v>
      </c>
      <c r="Q100" s="57"/>
    </row>
    <row r="101" spans="1:26">
      <c r="A101" s="43" t="s">
        <v>134</v>
      </c>
      <c r="B101" s="43" t="s">
        <v>192</v>
      </c>
      <c r="C101" s="162" t="s">
        <v>395</v>
      </c>
      <c r="D101" s="43">
        <f>IF(G13&lt;LARGE(H13:K13,3),SUM(C13:F13)+LARGE(H13:K13,1)+LARGE(H13:K13,2)+LARGE(H13:K13,3),SUM(C13:F13)+LARGE(H13:K13,1)+LARGE(H13:K13,2)+(LARGE(H13:K13,3)+G13)/2)</f>
        <v>3.4000000000000003E-9</v>
      </c>
      <c r="E101" s="43">
        <f t="shared" ref="E101:N101" si="68">C13</f>
        <v>1E-10</v>
      </c>
      <c r="F101" s="43">
        <f t="shared" si="68"/>
        <v>2.0000000000000001E-10</v>
      </c>
      <c r="G101" s="43">
        <f t="shared" si="68"/>
        <v>3E-10</v>
      </c>
      <c r="H101" s="43">
        <f t="shared" si="68"/>
        <v>4.0000000000000001E-10</v>
      </c>
      <c r="I101" s="43">
        <f t="shared" si="68"/>
        <v>5.0000000000000003E-10</v>
      </c>
      <c r="J101" s="43">
        <f t="shared" si="68"/>
        <v>6E-10</v>
      </c>
      <c r="K101" s="43">
        <f t="shared" si="68"/>
        <v>6.9999999999999996E-10</v>
      </c>
      <c r="L101" s="51">
        <f t="shared" si="68"/>
        <v>8.0000000000000003E-10</v>
      </c>
      <c r="M101" s="51">
        <f t="shared" si="68"/>
        <v>8.9999999999999999E-10</v>
      </c>
      <c r="N101" s="43">
        <f t="shared" si="68"/>
        <v>9.5000000000000003E-10</v>
      </c>
      <c r="O101" s="43">
        <f>IF(P101="無",0,1)</f>
        <v>0</v>
      </c>
      <c r="P101" s="43" t="str">
        <f>IF(Q101&gt;0,INDEX(P31:S31,MATCH(LARGE(P37:S37,1),P37:S37,0)),"無")</f>
        <v>無</v>
      </c>
      <c r="Q101" s="57">
        <f>LARGE(P37:S37,1)</f>
        <v>0</v>
      </c>
    </row>
    <row r="102" spans="1:26">
      <c r="A102" s="43" t="s">
        <v>135</v>
      </c>
      <c r="B102" s="43" t="s">
        <v>193</v>
      </c>
      <c r="C102" s="162" t="s">
        <v>395</v>
      </c>
      <c r="D102" s="43">
        <f>IF(G13&lt;LARGE(H13:K13,3),SUM(C13:F13)+LARGE(H13:K13,1)+LARGE(H13:K13,2)+LARGE(H13:K13,3),SUM(C13:F13)+LARGE(H13:K13,1)+LARGE(H13:K13,2)+(LARGE(H13:K13,3)+G13)/2)</f>
        <v>3.4000000000000003E-9</v>
      </c>
      <c r="E102" s="43">
        <f t="shared" ref="E102:M102" si="69">C13</f>
        <v>1E-10</v>
      </c>
      <c r="F102" s="43">
        <f t="shared" si="69"/>
        <v>2.0000000000000001E-10</v>
      </c>
      <c r="G102" s="43">
        <f t="shared" si="69"/>
        <v>3E-10</v>
      </c>
      <c r="H102" s="43">
        <f t="shared" si="69"/>
        <v>4.0000000000000001E-10</v>
      </c>
      <c r="I102" s="43">
        <f t="shared" si="69"/>
        <v>5.0000000000000003E-10</v>
      </c>
      <c r="J102" s="43">
        <f t="shared" si="69"/>
        <v>6E-10</v>
      </c>
      <c r="K102" s="43">
        <f t="shared" si="69"/>
        <v>6.9999999999999996E-10</v>
      </c>
      <c r="L102" s="51">
        <f t="shared" si="69"/>
        <v>8.0000000000000003E-10</v>
      </c>
      <c r="M102" s="51">
        <f t="shared" si="69"/>
        <v>8.9999999999999999E-10</v>
      </c>
      <c r="N102" s="43">
        <f>N4</f>
        <v>0</v>
      </c>
    </row>
    <row r="103" spans="1:26">
      <c r="A103" s="43" t="s">
        <v>136</v>
      </c>
      <c r="B103" s="43" t="s">
        <v>137</v>
      </c>
      <c r="C103" s="162" t="s">
        <v>215</v>
      </c>
      <c r="D103" s="43">
        <f>SUM(E103:H103)+LARGE(I103:N103,1)+LARGE(I103:N103,2)</f>
        <v>2.7000000000000002E-9</v>
      </c>
      <c r="E103" s="43">
        <f>C4</f>
        <v>1E-10</v>
      </c>
      <c r="F103" s="43">
        <f>D4</f>
        <v>2.0000000000000001E-10</v>
      </c>
      <c r="G103" s="43">
        <f>E4</f>
        <v>3E-10</v>
      </c>
      <c r="H103" s="43">
        <f>F4</f>
        <v>4.0000000000000001E-10</v>
      </c>
      <c r="I103" s="43">
        <f>G4</f>
        <v>5.0000000000000003E-10</v>
      </c>
      <c r="J103" s="43">
        <f>IF(OR(H1="物理",H1="化學",H1="生物",H1="組合科學 (物理、化學)",H1="組合科學 (生物、化學)",H1="組合科學 (物理、生物)",H1="綜合科學"),H4*1.5,H4)</f>
        <v>6E-10</v>
      </c>
      <c r="K103" s="43">
        <f>IF(OR(I1="物理",I1="化學",I1="生物",I1="組合科學 (物理、化學)",I1="組合科學 (生物、化學)",I1="組合科學 (物理、生物)",I1="綜合科學"),I4*1.5,I4)</f>
        <v>6.9999999999999996E-10</v>
      </c>
      <c r="L103" s="51">
        <f>IF(OR(J1="物理",J1="化學",J1="生物",J1="組合科學 (物理、化學)",J1="組合科學 (生物、化學)",J1="組合科學 (物理、生物)",J1="綜合科學"),J4*1.5,J4)</f>
        <v>8.0000000000000003E-10</v>
      </c>
      <c r="M103" s="51">
        <f>IF(OR(K1="物理",K1="化學",K1="生物",K1="組合科學 (物理、化學)",K1="組合科學 (生物、化學)",K1="組合科學 (物理、生物)",K1="綜合科學"),K4*1.5,K4)</f>
        <v>8.9999999999999999E-10</v>
      </c>
      <c r="N103" s="43">
        <f>N4</f>
        <v>0</v>
      </c>
    </row>
    <row r="104" spans="1:26" ht="16.5">
      <c r="A104" s="43" t="s">
        <v>138</v>
      </c>
      <c r="B104" s="43" t="s">
        <v>139</v>
      </c>
      <c r="C104" s="162" t="s">
        <v>215</v>
      </c>
      <c r="D104" s="43">
        <f>SUM(E104:H104)+LARGE(I104:N104,1)+LARGE(I104:N104,2)</f>
        <v>2.8499999999999999E-9</v>
      </c>
      <c r="E104" s="43">
        <f t="shared" ref="E104:N104" si="70">C4</f>
        <v>1E-10</v>
      </c>
      <c r="F104" s="43">
        <f t="shared" si="70"/>
        <v>2.0000000000000001E-10</v>
      </c>
      <c r="G104" s="43">
        <f t="shared" si="70"/>
        <v>3E-10</v>
      </c>
      <c r="H104" s="43">
        <f t="shared" si="70"/>
        <v>4.0000000000000001E-10</v>
      </c>
      <c r="I104" s="43">
        <f t="shared" si="70"/>
        <v>5.0000000000000003E-10</v>
      </c>
      <c r="J104" s="43">
        <f t="shared" si="70"/>
        <v>6E-10</v>
      </c>
      <c r="K104" s="43">
        <f t="shared" si="70"/>
        <v>6.9999999999999996E-10</v>
      </c>
      <c r="L104" s="51">
        <f t="shared" si="70"/>
        <v>8.0000000000000003E-10</v>
      </c>
      <c r="M104" s="51">
        <f t="shared" si="70"/>
        <v>8.9999999999999999E-10</v>
      </c>
      <c r="N104" s="43">
        <f t="shared" si="70"/>
        <v>9.5000000000000003E-10</v>
      </c>
      <c r="O104" s="44" t="s">
        <v>222</v>
      </c>
      <c r="Q104" s="44" t="s">
        <v>224</v>
      </c>
      <c r="R104" s="44" t="s">
        <v>225</v>
      </c>
      <c r="S104" s="44" t="s">
        <v>226</v>
      </c>
    </row>
    <row r="105" spans="1:26">
      <c r="A105" s="43" t="s">
        <v>140</v>
      </c>
      <c r="B105" s="43" t="s">
        <v>141</v>
      </c>
      <c r="C105" s="162" t="s">
        <v>214</v>
      </c>
      <c r="D105" s="43">
        <f>LARGE(E105:N105, 1)+LARGE(E105:N105, 2)+LARGE(E105:N105, 3)+LARGE(E105:N105, 4)+LARGE(E105:N105, 5)</f>
        <v>3.9500000000000006E-9</v>
      </c>
      <c r="E105" s="43">
        <f t="shared" ref="E105:N105" si="71">C4</f>
        <v>1E-10</v>
      </c>
      <c r="F105" s="43">
        <f t="shared" si="71"/>
        <v>2.0000000000000001E-10</v>
      </c>
      <c r="G105" s="43">
        <f t="shared" si="71"/>
        <v>3E-10</v>
      </c>
      <c r="H105" s="43">
        <f t="shared" si="71"/>
        <v>4.0000000000000001E-10</v>
      </c>
      <c r="I105" s="43">
        <f t="shared" si="71"/>
        <v>5.0000000000000003E-10</v>
      </c>
      <c r="J105" s="43">
        <f t="shared" si="71"/>
        <v>6E-10</v>
      </c>
      <c r="K105" s="43">
        <f t="shared" si="71"/>
        <v>6.9999999999999996E-10</v>
      </c>
      <c r="L105" s="51">
        <f t="shared" si="71"/>
        <v>8.0000000000000003E-10</v>
      </c>
      <c r="M105" s="51">
        <f t="shared" si="71"/>
        <v>8.9999999999999999E-10</v>
      </c>
      <c r="N105" s="43">
        <f t="shared" si="71"/>
        <v>9.5000000000000003E-10</v>
      </c>
      <c r="O105" s="43" t="str">
        <f>IF(C4&gt;D4,C1,D1)</f>
        <v>英國語文</v>
      </c>
      <c r="Q105" s="43" t="str">
        <f>INDEX(C1:L1,MATCH(LARGE(O108:X108,1),O108:X108,0))</f>
        <v>數學延伸</v>
      </c>
      <c r="R105" s="43" t="str">
        <f>INDEX(C1:L1,MATCH(LARGE(O108:X108,2),O108:X108,0))</f>
        <v>請選擇語言科目</v>
      </c>
      <c r="S105" s="43" t="str">
        <f>INDEX(O107:X107,MATCH(LARGE(O108:X108,3),O108:X108,0))</f>
        <v>數學</v>
      </c>
    </row>
    <row r="106" spans="1:26">
      <c r="A106" s="43" t="s">
        <v>142</v>
      </c>
      <c r="B106" s="43" t="s">
        <v>143</v>
      </c>
      <c r="C106" s="162" t="s">
        <v>215</v>
      </c>
      <c r="D106" s="43">
        <f>SUM(E106:H106)+LARGE(I106:N106,1)+LARGE(I106:N106,2)</f>
        <v>2.8499999999999999E-9</v>
      </c>
      <c r="E106" s="43">
        <f t="shared" ref="E106:N106" si="72">C4</f>
        <v>1E-10</v>
      </c>
      <c r="F106" s="43">
        <f t="shared" si="72"/>
        <v>2.0000000000000001E-10</v>
      </c>
      <c r="G106" s="43">
        <f t="shared" si="72"/>
        <v>3E-10</v>
      </c>
      <c r="H106" s="43">
        <f t="shared" si="72"/>
        <v>4.0000000000000001E-10</v>
      </c>
      <c r="I106" s="43">
        <f t="shared" si="72"/>
        <v>5.0000000000000003E-10</v>
      </c>
      <c r="J106" s="43">
        <f t="shared" si="72"/>
        <v>6E-10</v>
      </c>
      <c r="K106" s="43">
        <f t="shared" si="72"/>
        <v>6.9999999999999996E-10</v>
      </c>
      <c r="L106" s="51">
        <f t="shared" si="72"/>
        <v>8.0000000000000003E-10</v>
      </c>
      <c r="M106" s="51">
        <f t="shared" si="72"/>
        <v>8.9999999999999999E-10</v>
      </c>
      <c r="N106" s="43">
        <f t="shared" si="72"/>
        <v>9.5000000000000003E-10</v>
      </c>
    </row>
    <row r="107" spans="1:26" ht="16.5">
      <c r="A107" s="43" t="s">
        <v>194</v>
      </c>
      <c r="B107" s="43" t="s">
        <v>195</v>
      </c>
      <c r="C107" s="162" t="s">
        <v>215</v>
      </c>
      <c r="D107" s="43">
        <f>SUM(E107:H107)+LARGE(I107:N107,1)+LARGE(I107:N107,2)</f>
        <v>2.8499999999999999E-9</v>
      </c>
      <c r="E107" s="43">
        <f t="shared" ref="E107:N107" si="73">C4</f>
        <v>1E-10</v>
      </c>
      <c r="F107" s="43">
        <f t="shared" si="73"/>
        <v>2.0000000000000001E-10</v>
      </c>
      <c r="G107" s="43">
        <f t="shared" si="73"/>
        <v>3E-10</v>
      </c>
      <c r="H107" s="43">
        <f t="shared" si="73"/>
        <v>4.0000000000000001E-10</v>
      </c>
      <c r="I107" s="43">
        <f t="shared" si="73"/>
        <v>5.0000000000000003E-10</v>
      </c>
      <c r="J107" s="43">
        <f t="shared" si="73"/>
        <v>6E-10</v>
      </c>
      <c r="K107" s="43">
        <f t="shared" si="73"/>
        <v>6.9999999999999996E-10</v>
      </c>
      <c r="L107" s="51">
        <f t="shared" si="73"/>
        <v>8.0000000000000003E-10</v>
      </c>
      <c r="M107" s="51">
        <f t="shared" si="73"/>
        <v>8.9999999999999999E-10</v>
      </c>
      <c r="N107" s="43">
        <f t="shared" si="73"/>
        <v>9.5000000000000003E-10</v>
      </c>
      <c r="O107" s="44" t="str">
        <f t="shared" ref="O107:X107" si="74">C1</f>
        <v>中國語文</v>
      </c>
      <c r="P107" s="44" t="str">
        <f t="shared" si="74"/>
        <v>英國語文</v>
      </c>
      <c r="Q107" s="44" t="str">
        <f t="shared" si="74"/>
        <v>數學</v>
      </c>
      <c r="R107" s="44" t="str">
        <f t="shared" si="74"/>
        <v>通識教育</v>
      </c>
      <c r="S107" s="44" t="str">
        <f t="shared" si="74"/>
        <v>數學延伸</v>
      </c>
      <c r="T107" s="44" t="str">
        <f t="shared" si="74"/>
        <v>請選擇第一選修科</v>
      </c>
      <c r="U107" s="44" t="str">
        <f t="shared" si="74"/>
        <v>請選擇第二選修科</v>
      </c>
      <c r="V107" s="44" t="str">
        <f t="shared" si="74"/>
        <v>請選擇第三選修科</v>
      </c>
      <c r="W107" s="44" t="str">
        <f t="shared" si="74"/>
        <v>請選擇第四選修科</v>
      </c>
      <c r="X107" s="44" t="str">
        <f t="shared" si="74"/>
        <v>請選擇語言科目</v>
      </c>
    </row>
    <row r="108" spans="1:26">
      <c r="A108" s="43" t="s">
        <v>144</v>
      </c>
      <c r="B108" s="43" t="s">
        <v>145</v>
      </c>
      <c r="C108" s="162" t="s">
        <v>214</v>
      </c>
      <c r="D108" s="43">
        <f>LARGE(E108:N108, 1)+LARGE(E108:N108, 2)+LARGE(E108:N108, 3)+LARGE(E108:N108, 4)+LARGE(E108:N108, 5)</f>
        <v>4.3500000000000001E-9</v>
      </c>
      <c r="E108" s="43">
        <f>IF(OR(C1=Q105,C1=R105,C1=S105),C4*1.5,C4)</f>
        <v>1E-10</v>
      </c>
      <c r="F108" s="43">
        <f>IF(OR(D1=Q105,D1=R105,D1=S105),D4*1.5,D4)</f>
        <v>2.0000000000000001E-10</v>
      </c>
      <c r="G108" s="43">
        <f>IF(OR(E1=Q105,E1=R105,E1=S105),E4*2,E4)</f>
        <v>6E-10</v>
      </c>
      <c r="H108" s="43">
        <f>F4</f>
        <v>4.0000000000000001E-10</v>
      </c>
      <c r="I108" s="43">
        <f>IF(OR(G1=Q105,G1=R105,G1=S105),G4*2,G4)</f>
        <v>1.0000000000000001E-9</v>
      </c>
      <c r="J108" s="43">
        <f>IF(OR(H1=Q105,H1=R105,H1=S105),T108,H4)</f>
        <v>6E-10</v>
      </c>
      <c r="K108" s="43">
        <f>IF(OR(I1=Q105,I1=R105,I1=S105),U108,I4)</f>
        <v>6.9999999999999996E-10</v>
      </c>
      <c r="L108" s="51">
        <f>IF(OR(J1=Q105,J1=R105,J1=S105),V108,J4)</f>
        <v>8.0000000000000003E-10</v>
      </c>
      <c r="M108" s="51">
        <f>IF(OR(K1=Q105,K1=R105,K1=S105),W108,K4)</f>
        <v>8.9999999999999999E-10</v>
      </c>
      <c r="N108" s="43">
        <f>L4</f>
        <v>9.5000000000000003E-10</v>
      </c>
      <c r="O108" s="43">
        <f>IF(O107=O105,C4*1.5,C4)</f>
        <v>1E-10</v>
      </c>
      <c r="P108" s="43">
        <f>IF(P107=O105,D4*1.5,D4)</f>
        <v>3E-10</v>
      </c>
      <c r="Q108" s="43">
        <f>E4*2</f>
        <v>6E-10</v>
      </c>
      <c r="R108" s="43">
        <f>F4</f>
        <v>4.0000000000000001E-10</v>
      </c>
      <c r="S108" s="43">
        <f>G4*2</f>
        <v>1.0000000000000001E-9</v>
      </c>
      <c r="T108" s="43">
        <f>IF(OR(H1="物理",H1="化學",H1="生物",H1="組合科學 (物理、化學)",H1="組合科學 (生物、化學)",H1="組合科學 (物理、生物)",H1="綜合科學"),H4*2,IF(OR(H1="經濟",H1="地理",H1="科技與生活",H1="資訊及通訊科技"),H4*1.5,0))</f>
        <v>0</v>
      </c>
      <c r="U108" s="43">
        <f>IF(OR(I1="物理",I1="化學",I1="生物",I1="組合科學 (物理、化學)",I1="組合科學 (生物、化學)",I1="組合科學 (物理、生物)",I1="綜合科學"),I4*2,IF(OR(I1="經濟",I1="地理",I1="科技與生活",I1="資訊及通訊科技"),I4*1.5,0))</f>
        <v>0</v>
      </c>
      <c r="V108" s="43">
        <f>IF(OR(J1="物理",J1="化學",J1="生物",J1="組合科學 (物理、化學)",J1="組合科學 (生物、化學)",J1="組合科學 (物理、生物)",J1="綜合科學"),J4*2,IF(OR(J1="經濟",J1="地理",J1="科技與生活",J1="資訊及通訊科技"),J4*1.5,0))</f>
        <v>0</v>
      </c>
      <c r="W108" s="43">
        <f>IF(OR(K1="物理",K1="化學",K1="生物",K1="組合科學 (物理、化學)",K1="組合科學 (生物、化學)",K1="組合科學 (物理、生物)",K1="綜合科學"),K4*2,IF(OR(K1="經濟",K1="地理",K1="科技與生活",K1="資訊及通訊科技"),K4*1.5,0))</f>
        <v>0</v>
      </c>
      <c r="X108" s="43">
        <f>L4</f>
        <v>9.5000000000000003E-10</v>
      </c>
    </row>
    <row r="109" spans="1:26">
      <c r="A109" s="43" t="s">
        <v>196</v>
      </c>
      <c r="B109" s="43" t="s">
        <v>197</v>
      </c>
      <c r="C109" s="162" t="s">
        <v>214</v>
      </c>
      <c r="D109" s="43">
        <f>LARGE(E109:N109, 1)+LARGE(E109:N109, 2)+LARGE(E109:N109, 3)+LARGE(E109:N109, 4)+LARGE(E109:N109, 5)</f>
        <v>4.1000000000000003E-9</v>
      </c>
      <c r="E109" s="43">
        <f>C4</f>
        <v>1E-10</v>
      </c>
      <c r="F109" s="43">
        <f>D4*1.5</f>
        <v>3E-10</v>
      </c>
      <c r="G109" s="43">
        <f>E4*1.5</f>
        <v>4.5E-10</v>
      </c>
      <c r="H109" s="43">
        <f>F4</f>
        <v>4.0000000000000001E-10</v>
      </c>
      <c r="I109" s="43">
        <f>G4*1.5</f>
        <v>7.500000000000001E-10</v>
      </c>
      <c r="J109" s="43">
        <f>IF(OR(H1="物理",H1="化學",H1="生物",H1="組合科學 (物理、化學)",H1="組合科學 (生物、化學)",H1="組合科學 (物理、生物)",H1="地理",H1="綜合科學"),H4*1.5,H4)</f>
        <v>6E-10</v>
      </c>
      <c r="K109" s="43">
        <f>IF(OR(I1="物理",I1="化學",I1="生物",I1="組合科學 (物理、化學)",I1="組合科學 (生物、化學)",I1="組合科學 (物理、生物)",I1="地理",I1="綜合科學"),I4*1.5,I4)</f>
        <v>6.9999999999999996E-10</v>
      </c>
      <c r="L109" s="51">
        <f>IF(OR(J1="物理",J1="化學",J1="生物",J1="組合科學 (物理、化學)",J1="組合科學 (生物、化學)",J1="組合科學 (物理、生物)",J1="地理",J1="綜合科學"),J4*1.5,J4)</f>
        <v>8.0000000000000003E-10</v>
      </c>
      <c r="M109" s="51">
        <f>IF(OR(K1="物理",K1="化學",K1="生物",K1="組合科學 (物理、化學)",K1="組合科學 (生物、化學)",K1="組合科學 (物理、生物)",K1="地理",K1="綜合科學"),K4*1.5,K4)</f>
        <v>8.9999999999999999E-10</v>
      </c>
      <c r="N109" s="43">
        <f>L4</f>
        <v>9.5000000000000003E-10</v>
      </c>
    </row>
    <row r="110" spans="1:26" ht="16.5">
      <c r="A110" s="43" t="s">
        <v>146</v>
      </c>
      <c r="B110" s="43" t="s">
        <v>198</v>
      </c>
      <c r="C110" s="162" t="s">
        <v>214</v>
      </c>
      <c r="D110" s="43">
        <f>LARGE(E110:N110, 1)+LARGE(E110:N110, 2)+LARGE(E110:N110, 3)+LARGE(E110:N110, 4)+LARGE(E110:N110, 5)</f>
        <v>4.3500000000000001E-9</v>
      </c>
      <c r="E110" s="43">
        <f>C4</f>
        <v>1E-10</v>
      </c>
      <c r="F110" s="43">
        <f>D4</f>
        <v>2.0000000000000001E-10</v>
      </c>
      <c r="G110" s="43">
        <f>E4</f>
        <v>3E-10</v>
      </c>
      <c r="H110" s="43">
        <f>F4</f>
        <v>4.0000000000000001E-10</v>
      </c>
      <c r="I110" s="43">
        <f>G4*2</f>
        <v>1.0000000000000001E-9</v>
      </c>
      <c r="J110" s="43">
        <f>H4</f>
        <v>6E-10</v>
      </c>
      <c r="K110" s="43">
        <f>I4</f>
        <v>6.9999999999999996E-10</v>
      </c>
      <c r="L110" s="51">
        <f>J4</f>
        <v>8.0000000000000003E-10</v>
      </c>
      <c r="M110" s="51">
        <f>K4</f>
        <v>8.9999999999999999E-10</v>
      </c>
      <c r="N110" s="43">
        <f>L4</f>
        <v>9.5000000000000003E-10</v>
      </c>
      <c r="O110" s="44" t="str">
        <f>G1</f>
        <v>數學延伸</v>
      </c>
      <c r="P110" s="44" t="str">
        <f>H1</f>
        <v>請選擇第一選修科</v>
      </c>
      <c r="Q110" s="44" t="str">
        <f>I1</f>
        <v>請選擇第二選修科</v>
      </c>
      <c r="R110" s="44" t="str">
        <f>J1</f>
        <v>請選擇第三選修科</v>
      </c>
      <c r="S110" s="44" t="str">
        <f>K1</f>
        <v>請選擇第四選修科</v>
      </c>
      <c r="V110" s="44" t="s">
        <v>224</v>
      </c>
      <c r="W110" s="44"/>
      <c r="X110" s="44"/>
      <c r="Y110" s="44"/>
      <c r="Z110" s="44"/>
    </row>
    <row r="111" spans="1:26">
      <c r="A111" s="43" t="s">
        <v>147</v>
      </c>
      <c r="B111" s="43" t="s">
        <v>199</v>
      </c>
      <c r="C111" s="162" t="s">
        <v>214</v>
      </c>
      <c r="D111" s="43">
        <f>LARGE(E111:N111, 1)+LARGE(E111:N111, 2)+LARGE(E111:N111, 3)+LARGE(E111:N111, 4)+LARGE(E111:N111, 5)</f>
        <v>4.1000000000000003E-9</v>
      </c>
      <c r="E111" s="43">
        <f>C4</f>
        <v>1E-10</v>
      </c>
      <c r="F111" s="43">
        <f>D4</f>
        <v>2.0000000000000001E-10</v>
      </c>
      <c r="G111" s="43">
        <f>E4*1.5</f>
        <v>4.5E-10</v>
      </c>
      <c r="H111" s="43">
        <f>F4</f>
        <v>4.0000000000000001E-10</v>
      </c>
      <c r="I111" s="43">
        <f>G4*1.5</f>
        <v>7.500000000000001E-10</v>
      </c>
      <c r="J111" s="43">
        <f>IF(OR(H1="物理"),H4*1.5,H4)</f>
        <v>6E-10</v>
      </c>
      <c r="K111" s="43">
        <f>IF(OR(I1="物理"),I4*1.5,I4)</f>
        <v>6.9999999999999996E-10</v>
      </c>
      <c r="L111" s="51">
        <f>IF(OR(J1="物理"),J4*1.5,J4)</f>
        <v>8.0000000000000003E-10</v>
      </c>
      <c r="M111" s="51">
        <f>IF(OR(K1="物理"),K4*1.5,K4)</f>
        <v>8.9999999999999999E-10</v>
      </c>
      <c r="N111" s="43">
        <f>L4</f>
        <v>9.5000000000000003E-10</v>
      </c>
      <c r="O111" s="43">
        <f>G13</f>
        <v>5.0000000000000003E-10</v>
      </c>
      <c r="P111" s="43">
        <f>IF(OR(H1="物理",H1="化學",H1="地理",H1="組合科學 (物理、化學)",H1="組合科學 (生物、化學)",H1="組合科學 (物理、生物)"),H13,0)</f>
        <v>0</v>
      </c>
      <c r="Q111" s="43">
        <f>IF(OR(I1="物理",I1="化學",I1="地理",I1="組合科學 (物理、化學)",I1="組合科學 (生物、化學)",I1="組合科學 (物理、生物)"),I13,0)</f>
        <v>0</v>
      </c>
      <c r="R111" s="43">
        <f>IF(OR(J1="物理",J1="化學",J1="地理",J1="組合科學 (物理、化學)",J1="組合科學 (生物、化學)",J1="組合科學 (物理、生物)"),J13,0)</f>
        <v>0</v>
      </c>
      <c r="S111" s="43">
        <f>IF(OR(K1="物理",K1="化學",K1="地理",K1="組合科學 (物理、化學)",K1="組合科學 (生物、化學)",K1="組合科學 (物理、生物)"),K13,0)</f>
        <v>0</v>
      </c>
      <c r="V111" s="43" t="str">
        <f>INDEX(O110:S110,MATCH(LARGE(O111:S111,1),O111:S111,0))</f>
        <v>數學延伸</v>
      </c>
    </row>
    <row r="112" spans="1:26">
      <c r="A112" s="43" t="s">
        <v>148</v>
      </c>
      <c r="B112" s="43" t="s">
        <v>149</v>
      </c>
      <c r="C112" s="162" t="s">
        <v>214</v>
      </c>
      <c r="D112" s="43">
        <f>LARGE(E112:N112, 1)+LARGE(E112:N112, 2)+LARGE(E112:N112, 3)+LARGE(E112:N112, 4)+LARGE(E112:N112, 5)</f>
        <v>4.3500000000000001E-9</v>
      </c>
      <c r="E112" s="43">
        <f>C4</f>
        <v>1E-10</v>
      </c>
      <c r="F112" s="43">
        <f>D4</f>
        <v>2.0000000000000001E-10</v>
      </c>
      <c r="G112" s="43">
        <f>E4*2</f>
        <v>6E-10</v>
      </c>
      <c r="H112" s="43">
        <f>F4</f>
        <v>4.0000000000000001E-10</v>
      </c>
      <c r="I112" s="43">
        <f>G4*2</f>
        <v>1.0000000000000001E-9</v>
      </c>
      <c r="J112" s="43">
        <f>H4</f>
        <v>6E-10</v>
      </c>
      <c r="K112" s="43">
        <f>I4</f>
        <v>6.9999999999999996E-10</v>
      </c>
      <c r="L112" s="51">
        <f>J4</f>
        <v>8.0000000000000003E-10</v>
      </c>
      <c r="M112" s="51">
        <f>K4</f>
        <v>8.9999999999999999E-10</v>
      </c>
      <c r="N112" s="43">
        <f>L4</f>
        <v>9.5000000000000003E-10</v>
      </c>
      <c r="V112" s="43">
        <f>LARGE(O111:S111,1)</f>
        <v>5.0000000000000003E-10</v>
      </c>
    </row>
    <row r="113" spans="1:24" ht="16.5">
      <c r="A113" s="43" t="s">
        <v>150</v>
      </c>
      <c r="B113" s="43" t="s">
        <v>151</v>
      </c>
      <c r="C113" s="162" t="s">
        <v>214</v>
      </c>
      <c r="D113" s="43">
        <f t="shared" ref="D113:D125" si="75">LARGE(E113:N113, 1)+LARGE(E113:N113, 2)+LARGE(E113:N113, 3)+LARGE(E113:N113, 4)+LARGE(E113:N113, 5)</f>
        <v>3.9500000000000006E-9</v>
      </c>
      <c r="E113" s="43">
        <f>C4</f>
        <v>1E-10</v>
      </c>
      <c r="F113" s="43">
        <f>D4*1.3</f>
        <v>2.6000000000000003E-10</v>
      </c>
      <c r="G113" s="43">
        <f t="shared" ref="G113:N113" si="76">E4</f>
        <v>3E-10</v>
      </c>
      <c r="H113" s="43">
        <f t="shared" si="76"/>
        <v>4.0000000000000001E-10</v>
      </c>
      <c r="I113" s="43">
        <f t="shared" si="76"/>
        <v>5.0000000000000003E-10</v>
      </c>
      <c r="J113" s="43">
        <f t="shared" si="76"/>
        <v>6E-10</v>
      </c>
      <c r="K113" s="43">
        <f t="shared" si="76"/>
        <v>6.9999999999999996E-10</v>
      </c>
      <c r="L113" s="51">
        <f t="shared" si="76"/>
        <v>8.0000000000000003E-10</v>
      </c>
      <c r="M113" s="51">
        <f t="shared" si="76"/>
        <v>8.9999999999999999E-10</v>
      </c>
      <c r="N113" s="43">
        <f t="shared" si="76"/>
        <v>9.5000000000000003E-10</v>
      </c>
      <c r="O113" s="44" t="str">
        <f>G1</f>
        <v>數學延伸</v>
      </c>
      <c r="P113" s="44" t="str">
        <f>H1</f>
        <v>請選擇第一選修科</v>
      </c>
      <c r="Q113" s="44" t="str">
        <f>I1</f>
        <v>請選擇第二選修科</v>
      </c>
      <c r="R113" s="44" t="str">
        <f>J1</f>
        <v>請選擇第三選修科</v>
      </c>
      <c r="S113" s="44" t="str">
        <f>K1</f>
        <v>請選擇第四選修科</v>
      </c>
      <c r="V113" s="44" t="s">
        <v>224</v>
      </c>
      <c r="W113" s="44"/>
      <c r="X113" s="44"/>
    </row>
    <row r="114" spans="1:24">
      <c r="A114" s="43" t="s">
        <v>152</v>
      </c>
      <c r="B114" s="43" t="s">
        <v>153</v>
      </c>
      <c r="C114" s="162" t="s">
        <v>214</v>
      </c>
      <c r="D114" s="43">
        <f t="shared" si="75"/>
        <v>3.9500000000000006E-9</v>
      </c>
      <c r="E114" s="43">
        <f>C4</f>
        <v>1E-10</v>
      </c>
      <c r="F114" s="43">
        <f>D4*1.5</f>
        <v>3E-10</v>
      </c>
      <c r="G114" s="43">
        <f>E4*1.5</f>
        <v>4.5E-10</v>
      </c>
      <c r="H114" s="43">
        <f t="shared" ref="H114:N114" si="77">F4</f>
        <v>4.0000000000000001E-10</v>
      </c>
      <c r="I114" s="43">
        <f t="shared" si="77"/>
        <v>5.0000000000000003E-10</v>
      </c>
      <c r="J114" s="43">
        <f t="shared" si="77"/>
        <v>6E-10</v>
      </c>
      <c r="K114" s="43">
        <f t="shared" si="77"/>
        <v>6.9999999999999996E-10</v>
      </c>
      <c r="L114" s="51">
        <f t="shared" si="77"/>
        <v>8.0000000000000003E-10</v>
      </c>
      <c r="M114" s="51">
        <f t="shared" si="77"/>
        <v>8.9999999999999999E-10</v>
      </c>
      <c r="N114" s="43">
        <f t="shared" si="77"/>
        <v>9.5000000000000003E-10</v>
      </c>
      <c r="O114" s="43">
        <f>G13</f>
        <v>5.0000000000000003E-10</v>
      </c>
      <c r="P114" s="43">
        <f>IF(OR(H1="物理",H1="化學",H1="地理",H1="生物",H1="綜合科學",H1="組合科學 (物理、化學)",H1="組合科學 (生物、化學)",H1="組合科學 (物理、生物)"),H13,0)</f>
        <v>0</v>
      </c>
      <c r="Q114" s="43">
        <f>IF(OR(I1="物理",I1="化學",I1="地理",I1="生物",I1="綜合科學",I1="組合科學 (物理、化學)",I1="組合科學 (生物、化學)",I1="組合科學 (物理、生物)"),I13,0)</f>
        <v>0</v>
      </c>
      <c r="R114" s="43">
        <f>IF(OR(J1="物理",J1="化學",J1="地理",J1="生物",J1="綜合科學",J1="組合科學 (物理、化學)",J1="組合科學 (生物、化學)",J1="組合科學 (物理、生物)"),J13,0)</f>
        <v>0</v>
      </c>
      <c r="S114" s="43">
        <f>IF(OR(K1="物理",K1="化學",K1="地理",K1="生物",K1="綜合科學",K1="組合科學 (物理、化學)",K1="組合科學 (生物、化學)",K1="組合科學 (物理、生物)"),K13,0)</f>
        <v>0</v>
      </c>
      <c r="V114" s="43" t="str">
        <f>INDEX(O113:S113,MATCH(LARGE(O115:S115,1),O115:S115,0))</f>
        <v>數學延伸</v>
      </c>
    </row>
    <row r="115" spans="1:24">
      <c r="A115" s="15" t="s">
        <v>154</v>
      </c>
      <c r="B115" s="15" t="s">
        <v>200</v>
      </c>
      <c r="C115" s="164" t="s">
        <v>214</v>
      </c>
      <c r="D115" s="15">
        <f t="shared" si="75"/>
        <v>4.1000000000000003E-9</v>
      </c>
      <c r="E115" s="15">
        <f>C4</f>
        <v>1E-10</v>
      </c>
      <c r="F115" s="15">
        <f>D4</f>
        <v>2.0000000000000001E-10</v>
      </c>
      <c r="G115" s="15">
        <f>E4*1.5</f>
        <v>4.5E-10</v>
      </c>
      <c r="H115" s="15">
        <f>F4</f>
        <v>4.0000000000000001E-10</v>
      </c>
      <c r="I115" s="15">
        <f>IF(I64=T118,G4*1.5,G4)</f>
        <v>7.500000000000001E-10</v>
      </c>
      <c r="J115" s="15">
        <f>IF(J64=T118,H4*1.5,H4)</f>
        <v>6E-10</v>
      </c>
      <c r="K115" s="15">
        <f>IF(K64=T118,I4*1.5,I4)</f>
        <v>6.9999999999999996E-10</v>
      </c>
      <c r="L115" s="52">
        <f>IF(L64=T118,J4*1.5,J4)</f>
        <v>8.0000000000000003E-10</v>
      </c>
      <c r="M115" s="52">
        <f>IF(M64=T118,K4*1.5,K4)</f>
        <v>8.9999999999999999E-10</v>
      </c>
      <c r="N115" s="15">
        <f>L4</f>
        <v>9.5000000000000003E-10</v>
      </c>
      <c r="O115" s="43">
        <f>IF(O113=V111,0,O114)</f>
        <v>0</v>
      </c>
      <c r="P115" s="43">
        <f>IF(P113=V111,0,P114)</f>
        <v>0</v>
      </c>
      <c r="Q115" s="43">
        <f>IF(Q113=V111,0,Q114)</f>
        <v>0</v>
      </c>
      <c r="R115" s="43">
        <f>IF(R113=V111,0,R114)</f>
        <v>0</v>
      </c>
      <c r="S115" s="43">
        <f t="shared" ref="S115" si="78">IF(S113=Y111,0,S114)</f>
        <v>0</v>
      </c>
      <c r="V115" s="43">
        <f>LARGE(O115:S115,1)</f>
        <v>0</v>
      </c>
    </row>
    <row r="116" spans="1:24">
      <c r="A116" s="43" t="s">
        <v>155</v>
      </c>
      <c r="B116" s="43" t="s">
        <v>201</v>
      </c>
      <c r="C116" s="162" t="s">
        <v>214</v>
      </c>
      <c r="D116" s="43">
        <f t="shared" si="75"/>
        <v>3.9500000000000006E-9</v>
      </c>
      <c r="E116" s="43">
        <f>C4</f>
        <v>1E-10</v>
      </c>
      <c r="F116" s="43">
        <f>D4*1.5</f>
        <v>3E-10</v>
      </c>
      <c r="G116" s="43">
        <f t="shared" ref="G116:N116" si="79">E4</f>
        <v>3E-10</v>
      </c>
      <c r="H116" s="43">
        <f t="shared" si="79"/>
        <v>4.0000000000000001E-10</v>
      </c>
      <c r="I116" s="43">
        <f t="shared" si="79"/>
        <v>5.0000000000000003E-10</v>
      </c>
      <c r="J116" s="43">
        <f t="shared" si="79"/>
        <v>6E-10</v>
      </c>
      <c r="K116" s="43">
        <f t="shared" si="79"/>
        <v>6.9999999999999996E-10</v>
      </c>
      <c r="L116" s="51">
        <f t="shared" si="79"/>
        <v>8.0000000000000003E-10</v>
      </c>
      <c r="M116" s="51">
        <f t="shared" si="79"/>
        <v>8.9999999999999999E-10</v>
      </c>
      <c r="N116" s="43">
        <f t="shared" si="79"/>
        <v>9.5000000000000003E-10</v>
      </c>
      <c r="V116" s="40"/>
    </row>
    <row r="117" spans="1:24" ht="16.5">
      <c r="A117" s="43" t="s">
        <v>156</v>
      </c>
      <c r="B117" s="43" t="s">
        <v>157</v>
      </c>
      <c r="C117" s="162" t="s">
        <v>214</v>
      </c>
      <c r="D117" s="43">
        <f t="shared" si="75"/>
        <v>3.9500000000000006E-9</v>
      </c>
      <c r="E117" s="43">
        <f t="shared" ref="E117:N117" si="80">C4</f>
        <v>1E-10</v>
      </c>
      <c r="F117" s="43">
        <f t="shared" si="80"/>
        <v>2.0000000000000001E-10</v>
      </c>
      <c r="G117" s="43">
        <f t="shared" si="80"/>
        <v>3E-10</v>
      </c>
      <c r="H117" s="43">
        <f t="shared" si="80"/>
        <v>4.0000000000000001E-10</v>
      </c>
      <c r="I117" s="43">
        <f t="shared" si="80"/>
        <v>5.0000000000000003E-10</v>
      </c>
      <c r="J117" s="43">
        <f t="shared" si="80"/>
        <v>6E-10</v>
      </c>
      <c r="K117" s="43">
        <f t="shared" si="80"/>
        <v>6.9999999999999996E-10</v>
      </c>
      <c r="L117" s="51">
        <f t="shared" si="80"/>
        <v>8.0000000000000003E-10</v>
      </c>
      <c r="M117" s="51">
        <f t="shared" si="80"/>
        <v>8.9999999999999999E-10</v>
      </c>
      <c r="N117" s="43">
        <f t="shared" si="80"/>
        <v>9.5000000000000003E-10</v>
      </c>
      <c r="O117" s="14" t="str">
        <f>G1</f>
        <v>數學延伸</v>
      </c>
      <c r="P117" s="14" t="str">
        <f>H1</f>
        <v>請選擇第一選修科</v>
      </c>
      <c r="Q117" s="14" t="str">
        <f>I1</f>
        <v>請選擇第二選修科</v>
      </c>
      <c r="R117" s="14" t="str">
        <f>J1</f>
        <v>請選擇第三選修科</v>
      </c>
      <c r="S117" s="14" t="str">
        <f>K1</f>
        <v>請選擇第四選修科</v>
      </c>
      <c r="T117" s="14" t="s">
        <v>227</v>
      </c>
      <c r="V117" s="40"/>
    </row>
    <row r="118" spans="1:24">
      <c r="A118" s="43" t="s">
        <v>158</v>
      </c>
      <c r="B118" s="43" t="s">
        <v>159</v>
      </c>
      <c r="C118" s="162" t="s">
        <v>215</v>
      </c>
      <c r="D118" s="43">
        <f>SUM(E118:H118)+LARGE(I118:N118,1)+LARGE(I118:N118,2)</f>
        <v>3.0750000000000002E-9</v>
      </c>
      <c r="E118" s="43">
        <f>C4*1.25</f>
        <v>1.2500000000000001E-10</v>
      </c>
      <c r="F118" s="43">
        <f>D4*1.5</f>
        <v>3E-10</v>
      </c>
      <c r="G118" s="43">
        <f>E4</f>
        <v>3E-10</v>
      </c>
      <c r="H118" s="43">
        <f>F4*1.25</f>
        <v>5.0000000000000003E-10</v>
      </c>
      <c r="I118" s="43">
        <f t="shared" ref="I118:N118" si="81">G4</f>
        <v>5.0000000000000003E-10</v>
      </c>
      <c r="J118" s="43">
        <f t="shared" si="81"/>
        <v>6E-10</v>
      </c>
      <c r="K118" s="43">
        <f t="shared" si="81"/>
        <v>6.9999999999999996E-10</v>
      </c>
      <c r="L118" s="51">
        <f t="shared" si="81"/>
        <v>8.0000000000000003E-10</v>
      </c>
      <c r="M118" s="51">
        <f t="shared" si="81"/>
        <v>8.9999999999999999E-10</v>
      </c>
      <c r="N118" s="43">
        <f t="shared" si="81"/>
        <v>9.5000000000000003E-10</v>
      </c>
      <c r="O118" s="15">
        <f>G4</f>
        <v>5.0000000000000003E-10</v>
      </c>
      <c r="P118" s="15">
        <f>IF(OR(H1="物理",H1="化學",H1="經濟"),H4,0)</f>
        <v>0</v>
      </c>
      <c r="Q118" s="15">
        <f>IF(OR(I1="物理",I1="化學",I1="經濟"),I4,0)</f>
        <v>0</v>
      </c>
      <c r="R118" s="15">
        <f>IF(OR(J1="物理",J1="化學",J1="經濟"),J4,0)</f>
        <v>0</v>
      </c>
      <c r="S118" s="15">
        <f>IF(OR(K1="物理",K1="化學",K1="經濟"),K4,0)</f>
        <v>0</v>
      </c>
      <c r="T118" s="15" t="str">
        <f>INDEX(G$1:K$1,MATCH(LARGE(O118:S118,1),O118:S118,0))</f>
        <v>數學延伸</v>
      </c>
      <c r="V118" s="40"/>
    </row>
    <row r="119" spans="1:24">
      <c r="A119" s="43" t="s">
        <v>160</v>
      </c>
      <c r="B119" s="43" t="s">
        <v>161</v>
      </c>
      <c r="C119" s="162" t="s">
        <v>214</v>
      </c>
      <c r="D119" s="43">
        <f t="shared" si="75"/>
        <v>3.9500000000000006E-9</v>
      </c>
      <c r="E119" s="43">
        <f>C4*1.3</f>
        <v>1.3000000000000002E-10</v>
      </c>
      <c r="F119" s="43">
        <f>D4*1.3</f>
        <v>2.6000000000000003E-10</v>
      </c>
      <c r="G119" s="43">
        <f t="shared" ref="G119:N119" si="82">E4</f>
        <v>3E-10</v>
      </c>
      <c r="H119" s="43">
        <f t="shared" si="82"/>
        <v>4.0000000000000001E-10</v>
      </c>
      <c r="I119" s="43">
        <f t="shared" si="82"/>
        <v>5.0000000000000003E-10</v>
      </c>
      <c r="J119" s="43">
        <f t="shared" si="82"/>
        <v>6E-10</v>
      </c>
      <c r="K119" s="43">
        <f t="shared" si="82"/>
        <v>6.9999999999999996E-10</v>
      </c>
      <c r="L119" s="51">
        <f t="shared" si="82"/>
        <v>8.0000000000000003E-10</v>
      </c>
      <c r="M119" s="51">
        <f t="shared" si="82"/>
        <v>8.9999999999999999E-10</v>
      </c>
      <c r="N119" s="43">
        <f t="shared" si="82"/>
        <v>9.5000000000000003E-10</v>
      </c>
      <c r="V119" s="40"/>
    </row>
    <row r="120" spans="1:24">
      <c r="A120" s="43" t="s">
        <v>202</v>
      </c>
      <c r="B120" s="43" t="s">
        <v>203</v>
      </c>
      <c r="C120" s="162" t="s">
        <v>214</v>
      </c>
      <c r="D120" s="43">
        <f t="shared" si="75"/>
        <v>3.9500000000000006E-9</v>
      </c>
      <c r="E120" s="43">
        <f>C4</f>
        <v>1E-10</v>
      </c>
      <c r="F120" s="43">
        <f>D4*1.3</f>
        <v>2.6000000000000003E-10</v>
      </c>
      <c r="G120" s="43">
        <f t="shared" ref="G120:N120" si="83">E4</f>
        <v>3E-10</v>
      </c>
      <c r="H120" s="43">
        <f t="shared" si="83"/>
        <v>4.0000000000000001E-10</v>
      </c>
      <c r="I120" s="43">
        <f t="shared" si="83"/>
        <v>5.0000000000000003E-10</v>
      </c>
      <c r="J120" s="43">
        <f t="shared" si="83"/>
        <v>6E-10</v>
      </c>
      <c r="K120" s="43">
        <f t="shared" si="83"/>
        <v>6.9999999999999996E-10</v>
      </c>
      <c r="L120" s="51">
        <f t="shared" si="83"/>
        <v>8.0000000000000003E-10</v>
      </c>
      <c r="M120" s="51">
        <f t="shared" si="83"/>
        <v>8.9999999999999999E-10</v>
      </c>
      <c r="N120" s="43">
        <f t="shared" si="83"/>
        <v>9.5000000000000003E-10</v>
      </c>
      <c r="V120" s="40"/>
    </row>
    <row r="121" spans="1:24">
      <c r="A121" s="43" t="s">
        <v>162</v>
      </c>
      <c r="B121" s="43" t="s">
        <v>163</v>
      </c>
      <c r="C121" s="162" t="s">
        <v>214</v>
      </c>
      <c r="D121" s="43">
        <f t="shared" si="75"/>
        <v>3.9500000000000006E-9</v>
      </c>
      <c r="E121" s="43">
        <f>C4</f>
        <v>1E-10</v>
      </c>
      <c r="F121" s="43">
        <f>D4*1.5</f>
        <v>3E-10</v>
      </c>
      <c r="G121" s="43">
        <f>E4*1.5</f>
        <v>4.5E-10</v>
      </c>
      <c r="H121" s="43">
        <f t="shared" ref="H121:N121" si="84">F4</f>
        <v>4.0000000000000001E-10</v>
      </c>
      <c r="I121" s="43">
        <f t="shared" si="84"/>
        <v>5.0000000000000003E-10</v>
      </c>
      <c r="J121" s="43">
        <f t="shared" si="84"/>
        <v>6E-10</v>
      </c>
      <c r="K121" s="43">
        <f t="shared" si="84"/>
        <v>6.9999999999999996E-10</v>
      </c>
      <c r="L121" s="51">
        <f t="shared" si="84"/>
        <v>8.0000000000000003E-10</v>
      </c>
      <c r="M121" s="51">
        <f t="shared" si="84"/>
        <v>8.9999999999999999E-10</v>
      </c>
      <c r="N121" s="43">
        <f t="shared" si="84"/>
        <v>9.5000000000000003E-10</v>
      </c>
      <c r="V121" s="40"/>
    </row>
    <row r="122" spans="1:24">
      <c r="A122" s="43" t="s">
        <v>164</v>
      </c>
      <c r="B122" s="43" t="s">
        <v>165</v>
      </c>
      <c r="C122" s="162" t="s">
        <v>214</v>
      </c>
      <c r="D122" s="43">
        <f t="shared" si="75"/>
        <v>3.9500000000000006E-9</v>
      </c>
      <c r="E122" s="43">
        <f t="shared" ref="E122:N122" si="85">C4</f>
        <v>1E-10</v>
      </c>
      <c r="F122" s="43">
        <f t="shared" si="85"/>
        <v>2.0000000000000001E-10</v>
      </c>
      <c r="G122" s="43">
        <f t="shared" si="85"/>
        <v>3E-10</v>
      </c>
      <c r="H122" s="43">
        <f t="shared" si="85"/>
        <v>4.0000000000000001E-10</v>
      </c>
      <c r="I122" s="43">
        <f t="shared" si="85"/>
        <v>5.0000000000000003E-10</v>
      </c>
      <c r="J122" s="43">
        <f t="shared" si="85"/>
        <v>6E-10</v>
      </c>
      <c r="K122" s="43">
        <f t="shared" si="85"/>
        <v>6.9999999999999996E-10</v>
      </c>
      <c r="L122" s="51">
        <f t="shared" si="85"/>
        <v>8.0000000000000003E-10</v>
      </c>
      <c r="M122" s="51">
        <f t="shared" si="85"/>
        <v>8.9999999999999999E-10</v>
      </c>
      <c r="N122" s="43">
        <f t="shared" si="85"/>
        <v>9.5000000000000003E-10</v>
      </c>
    </row>
    <row r="123" spans="1:24">
      <c r="A123" s="43" t="s">
        <v>166</v>
      </c>
      <c r="B123" s="43" t="s">
        <v>167</v>
      </c>
      <c r="C123" s="162" t="s">
        <v>214</v>
      </c>
      <c r="D123" s="43">
        <f t="shared" si="75"/>
        <v>3.9500000000000006E-9</v>
      </c>
      <c r="E123" s="43">
        <f>C4</f>
        <v>1E-10</v>
      </c>
      <c r="F123" s="43">
        <f>D4*1.5</f>
        <v>3E-10</v>
      </c>
      <c r="G123" s="43">
        <f>E4</f>
        <v>3E-10</v>
      </c>
      <c r="H123" s="43">
        <f>F4*1.5</f>
        <v>6E-10</v>
      </c>
      <c r="I123" s="43">
        <f t="shared" ref="I123:N123" si="86">G4</f>
        <v>5.0000000000000003E-10</v>
      </c>
      <c r="J123" s="43">
        <f t="shared" si="86"/>
        <v>6E-10</v>
      </c>
      <c r="K123" s="43">
        <f t="shared" si="86"/>
        <v>6.9999999999999996E-10</v>
      </c>
      <c r="L123" s="51">
        <f t="shared" si="86"/>
        <v>8.0000000000000003E-10</v>
      </c>
      <c r="M123" s="51">
        <f t="shared" si="86"/>
        <v>8.9999999999999999E-10</v>
      </c>
      <c r="N123" s="43">
        <f t="shared" si="86"/>
        <v>9.5000000000000003E-10</v>
      </c>
    </row>
    <row r="124" spans="1:24">
      <c r="A124" s="43" t="s">
        <v>204</v>
      </c>
      <c r="B124" s="43" t="s">
        <v>205</v>
      </c>
      <c r="C124" s="162" t="s">
        <v>214</v>
      </c>
      <c r="D124" s="43">
        <f t="shared" si="75"/>
        <v>3.9500000000000006E-9</v>
      </c>
      <c r="E124" s="43">
        <f>C4</f>
        <v>1E-10</v>
      </c>
      <c r="F124" s="43">
        <f>D4*1.5</f>
        <v>3E-10</v>
      </c>
      <c r="G124" s="43">
        <f t="shared" ref="G124:N124" si="87">E4</f>
        <v>3E-10</v>
      </c>
      <c r="H124" s="43">
        <f t="shared" si="87"/>
        <v>4.0000000000000001E-10</v>
      </c>
      <c r="I124" s="43">
        <f t="shared" si="87"/>
        <v>5.0000000000000003E-10</v>
      </c>
      <c r="J124" s="43">
        <f t="shared" si="87"/>
        <v>6E-10</v>
      </c>
      <c r="K124" s="43">
        <f t="shared" si="87"/>
        <v>6.9999999999999996E-10</v>
      </c>
      <c r="L124" s="51">
        <f t="shared" si="87"/>
        <v>8.0000000000000003E-10</v>
      </c>
      <c r="M124" s="51">
        <f t="shared" si="87"/>
        <v>8.9999999999999999E-10</v>
      </c>
      <c r="N124" s="43">
        <f t="shared" si="87"/>
        <v>9.5000000000000003E-10</v>
      </c>
    </row>
    <row r="125" spans="1:24">
      <c r="A125" s="43" t="s">
        <v>213</v>
      </c>
      <c r="B125" s="43" t="s">
        <v>207</v>
      </c>
      <c r="C125" s="162" t="s">
        <v>214</v>
      </c>
      <c r="D125" s="43">
        <f t="shared" si="75"/>
        <v>3.9500000000000006E-9</v>
      </c>
      <c r="E125" s="43">
        <f t="shared" ref="E125:N125" si="88">C4</f>
        <v>1E-10</v>
      </c>
      <c r="F125" s="43">
        <f t="shared" si="88"/>
        <v>2.0000000000000001E-10</v>
      </c>
      <c r="G125" s="43">
        <f t="shared" si="88"/>
        <v>3E-10</v>
      </c>
      <c r="H125" s="43">
        <f t="shared" si="88"/>
        <v>4.0000000000000001E-10</v>
      </c>
      <c r="I125" s="43">
        <f t="shared" si="88"/>
        <v>5.0000000000000003E-10</v>
      </c>
      <c r="J125" s="43">
        <f t="shared" si="88"/>
        <v>6E-10</v>
      </c>
      <c r="K125" s="43">
        <f t="shared" si="88"/>
        <v>6.9999999999999996E-10</v>
      </c>
      <c r="L125" s="51">
        <f t="shared" si="88"/>
        <v>8.0000000000000003E-10</v>
      </c>
      <c r="M125" s="51">
        <f t="shared" si="88"/>
        <v>8.9999999999999999E-10</v>
      </c>
      <c r="N125" s="43">
        <f t="shared" si="88"/>
        <v>9.5000000000000003E-10</v>
      </c>
    </row>
    <row r="126" spans="1:24">
      <c r="A126" s="43" t="s">
        <v>168</v>
      </c>
      <c r="B126" s="43" t="s">
        <v>169</v>
      </c>
      <c r="C126" s="162" t="s">
        <v>215</v>
      </c>
      <c r="D126" s="43">
        <f>SUM(E126:H126)+LARGE(I126:N126,1)+LARGE(I126:N126,2)</f>
        <v>3.4999999999999999E-9</v>
      </c>
      <c r="E126" s="43">
        <f>C4*1.5</f>
        <v>1.5E-10</v>
      </c>
      <c r="F126" s="43">
        <f>D4*2</f>
        <v>4.0000000000000001E-10</v>
      </c>
      <c r="G126" s="43">
        <f>E4</f>
        <v>3E-10</v>
      </c>
      <c r="H126" s="43">
        <f>F4*2</f>
        <v>8.0000000000000003E-10</v>
      </c>
      <c r="I126" s="43">
        <f t="shared" ref="I126:N126" si="89">G4</f>
        <v>5.0000000000000003E-10</v>
      </c>
      <c r="J126" s="43">
        <f t="shared" si="89"/>
        <v>6E-10</v>
      </c>
      <c r="K126" s="43">
        <f t="shared" si="89"/>
        <v>6.9999999999999996E-10</v>
      </c>
      <c r="L126" s="51">
        <f t="shared" si="89"/>
        <v>8.0000000000000003E-10</v>
      </c>
      <c r="M126" s="51">
        <f t="shared" si="89"/>
        <v>8.9999999999999999E-10</v>
      </c>
      <c r="N126" s="43">
        <f t="shared" si="89"/>
        <v>9.5000000000000003E-10</v>
      </c>
    </row>
    <row r="128" spans="1:24" ht="16.5">
      <c r="A128" s="44" t="s">
        <v>608</v>
      </c>
      <c r="D128" s="44" t="s">
        <v>219</v>
      </c>
      <c r="E128" s="44" t="str">
        <f t="shared" ref="E128:N128" si="90">C1</f>
        <v>中國語文</v>
      </c>
      <c r="F128" s="44" t="str">
        <f t="shared" si="90"/>
        <v>英國語文</v>
      </c>
      <c r="G128" s="44" t="str">
        <f t="shared" si="90"/>
        <v>數學</v>
      </c>
      <c r="H128" s="44" t="str">
        <f t="shared" si="90"/>
        <v>通識教育</v>
      </c>
      <c r="I128" s="44" t="str">
        <f t="shared" si="90"/>
        <v>數學延伸</v>
      </c>
      <c r="J128" s="44" t="str">
        <f t="shared" si="90"/>
        <v>請選擇第一選修科</v>
      </c>
      <c r="K128" s="44" t="str">
        <f t="shared" si="90"/>
        <v>請選擇第二選修科</v>
      </c>
      <c r="L128" s="44" t="str">
        <f t="shared" si="90"/>
        <v>請選擇第三選修科</v>
      </c>
      <c r="M128" s="44" t="str">
        <f t="shared" si="90"/>
        <v>請選擇第四選修科</v>
      </c>
      <c r="N128" s="44" t="str">
        <f t="shared" si="90"/>
        <v>請選擇語言科目</v>
      </c>
      <c r="O128" s="44"/>
    </row>
    <row r="129" spans="1:14">
      <c r="A129" s="43" t="s">
        <v>442</v>
      </c>
      <c r="B129" s="43" t="s">
        <v>542</v>
      </c>
      <c r="C129" s="162" t="s">
        <v>215</v>
      </c>
      <c r="D129" s="43">
        <f>SUM(E129:H129)+LARGE((I129:N129),1)+LARGE((I129:N129),2)</f>
        <v>1.925E-8</v>
      </c>
      <c r="E129" s="43">
        <f>C5*10</f>
        <v>1.0000000000000001E-9</v>
      </c>
      <c r="F129" s="43">
        <f>D5*10</f>
        <v>2.0000000000000001E-9</v>
      </c>
      <c r="G129" s="43">
        <f>E5*10</f>
        <v>3E-9</v>
      </c>
      <c r="H129" s="43">
        <f>F5*10</f>
        <v>4.0000000000000002E-9</v>
      </c>
      <c r="I129" s="43">
        <f>G5*5</f>
        <v>2.5000000000000001E-9</v>
      </c>
      <c r="J129" s="49">
        <f>IF(OR(H1="生物",H1="組合科學 (生物、化學)",H1="組合科學 (物理、生物)"),H5*10,H5*5)</f>
        <v>3E-9</v>
      </c>
      <c r="K129" s="49">
        <f>IF(OR(I1="生物",I1="組合科學 (生物、化學)",I1="組合科學 (物理、生物)"),I5*10,I5*5)</f>
        <v>3.4999999999999999E-9</v>
      </c>
      <c r="L129" s="49">
        <f>IF(OR(J1="生物",J1="組合科學 (生物、化學)",J1="組合科學 (物理、生物)"),J5*10,J5*5)</f>
        <v>4.0000000000000002E-9</v>
      </c>
      <c r="M129" s="49">
        <f>IF(OR(K1="生物",K1="組合科學 (生物、化學)",K1="組合科學 (物理、生物)"),K5*10,K5*5)</f>
        <v>4.4999999999999998E-9</v>
      </c>
      <c r="N129" s="43">
        <f>L5*5</f>
        <v>4.7500000000000003E-9</v>
      </c>
    </row>
    <row r="130" spans="1:14">
      <c r="A130" s="43" t="s">
        <v>443</v>
      </c>
      <c r="B130" s="43" t="s">
        <v>543</v>
      </c>
      <c r="C130" s="162" t="s">
        <v>214</v>
      </c>
      <c r="D130" s="43">
        <f>LARGE((E130:N130),1)+LARGE((E130:N130),2)+LARGE((E130:N130),3)+LARGE((E130:N130),4)+LARGE((E130:N130),5)</f>
        <v>2.175E-8</v>
      </c>
      <c r="E130" s="43">
        <f>C5*7</f>
        <v>7.0000000000000006E-10</v>
      </c>
      <c r="F130" s="43">
        <f>D5*10</f>
        <v>2.0000000000000001E-9</v>
      </c>
      <c r="G130" s="43">
        <f>E5*10</f>
        <v>3E-9</v>
      </c>
      <c r="H130" s="43">
        <f>F5*7</f>
        <v>2.8000000000000003E-9</v>
      </c>
      <c r="I130" s="43">
        <f>G5*10</f>
        <v>5.0000000000000001E-9</v>
      </c>
      <c r="J130" s="43">
        <f>IF(OR(H1="物理",H1="化學",H1="生物",H1="組合科學 (物理、化學)",H1="組合科學 (生物、化學)",H1="組合科學 (物理、生物)"),H5*10,H5*5)</f>
        <v>3E-9</v>
      </c>
      <c r="K130" s="43">
        <f>IF(OR(I1="物理",I1="化學",I1="生物",I1="組合科學 (物理、化學)",I1="組合科學 (生物、化學)",I1="組合科學 (物理、生物)"),I5*10,I5*5)</f>
        <v>3.4999999999999999E-9</v>
      </c>
      <c r="L130" s="43">
        <f>IF(OR(J1="物理",J1="化學",J1="生物",J1="組合科學 (物理、化學)",J1="組合科學 (生物、化學)",J1="組合科學 (物理、生物)"),J5*10,J5*5)</f>
        <v>4.0000000000000002E-9</v>
      </c>
      <c r="M130" s="43">
        <f>IF(OR(K1="物理",K1="化學",K1="生物",K1="組合科學 (物理、化學)",K1="組合科學 (生物、化學)",K1="組合科學 (物理、生物)"),K5*10,K5*5)</f>
        <v>4.4999999999999998E-9</v>
      </c>
      <c r="N130" s="43">
        <f>L5*5</f>
        <v>4.7500000000000003E-9</v>
      </c>
    </row>
    <row r="131" spans="1:14">
      <c r="A131" s="43" t="s">
        <v>444</v>
      </c>
      <c r="B131" s="43" t="s">
        <v>544</v>
      </c>
      <c r="C131" s="162" t="s">
        <v>214</v>
      </c>
      <c r="D131" s="43">
        <f t="shared" ref="D131:D146" si="91">LARGE((E131:N131),1)+LARGE((E131:N131),2)+LARGE((E131:N131),3)+LARGE((E131:N131),4)+LARGE((E131:N131),5)</f>
        <v>2.175E-8</v>
      </c>
      <c r="E131" s="43">
        <f>C5*7</f>
        <v>7.0000000000000006E-10</v>
      </c>
      <c r="F131" s="43">
        <f>D5*10</f>
        <v>2.0000000000000001E-9</v>
      </c>
      <c r="G131" s="43">
        <f>E5*10</f>
        <v>3E-9</v>
      </c>
      <c r="H131" s="43">
        <f>F5*7</f>
        <v>2.8000000000000003E-9</v>
      </c>
      <c r="I131" s="43">
        <f>G5*10</f>
        <v>5.0000000000000001E-9</v>
      </c>
      <c r="J131" s="43">
        <f>IF(OR(H1="物理",H1="化學",H1="生物",H1="組合科學 (物理、化學)",H1="組合科學 (生物、化學)",H1="組合科學 (物理、生物)",H1="資訊及通訊科技"),H5*10,H5*5)</f>
        <v>3E-9</v>
      </c>
      <c r="K131" s="43">
        <f>IF(OR(I1="物理",I1="化學",I1="生物",I1="組合科學 (物理、化學)",I1="組合科學 (生物、化學)",I1="組合科學 (物理、生物)",I1="資訊及通訊科技"),I5*10,I5*5)</f>
        <v>3.4999999999999999E-9</v>
      </c>
      <c r="L131" s="43">
        <f>IF(OR(J1="物理",J1="化學",J1="生物",J1="組合科學 (物理、化學)",J1="組合科學 (生物、化學)",J1="組合科學 (物理、生物)",J1="資訊及通訊科技"),J5*10,J5*5)</f>
        <v>4.0000000000000002E-9</v>
      </c>
      <c r="M131" s="43">
        <f>IF(OR(K1="物理",K1="化學",K1="生物",K1="組合科學 (物理、化學)",K1="組合科學 (生物、化學)",K1="組合科學 (物理、生物)",K1="資訊及通訊科技"),K5*10,K5*5)</f>
        <v>4.4999999999999998E-9</v>
      </c>
      <c r="N131" s="43">
        <f>L5*5</f>
        <v>4.7500000000000003E-9</v>
      </c>
    </row>
    <row r="132" spans="1:14">
      <c r="A132" s="43" t="s">
        <v>445</v>
      </c>
      <c r="B132" s="43" t="s">
        <v>545</v>
      </c>
      <c r="C132" s="162" t="s">
        <v>214</v>
      </c>
      <c r="D132" s="43">
        <f t="shared" si="91"/>
        <v>1.9750000000000001E-8</v>
      </c>
      <c r="E132" s="43">
        <f>C5*7</f>
        <v>7.0000000000000006E-10</v>
      </c>
      <c r="F132" s="43">
        <f>D5*10</f>
        <v>2.0000000000000001E-9</v>
      </c>
      <c r="G132" s="43">
        <f>E5*10</f>
        <v>3E-9</v>
      </c>
      <c r="H132" s="43">
        <f>F5*7</f>
        <v>2.8000000000000003E-9</v>
      </c>
      <c r="I132" s="43">
        <f>G5*5</f>
        <v>2.5000000000000001E-9</v>
      </c>
      <c r="J132" s="43">
        <f>IF(OR(H1="物理",H1="化學",H1="組合科學 (物理、化學)",H1="組合科學 (生物、化學)",H1="組合科學 (物理、生物)"),H5*10,H5*5)</f>
        <v>3E-9</v>
      </c>
      <c r="K132" s="43">
        <f>IF(OR(I1="物理",I1="化學",I1="組合科學 (物理、化學)",I1="組合科學 (生物、化學)",I1="組合科學 (物理、生物)"),I5*10,I5*5)</f>
        <v>3.4999999999999999E-9</v>
      </c>
      <c r="L132" s="43">
        <f>IF(OR(J1="物理",J1="化學",J1="組合科學 (物理、化學)",J1="組合科學 (生物、化學)",J1="組合科學 (物理、生物)"),J5*10,J5*5)</f>
        <v>4.0000000000000002E-9</v>
      </c>
      <c r="M132" s="43">
        <f>IF(OR(K1="物理",K1="化學",K1="組合科學 (物理、化學)",K1="組合科學 (生物、化學)",K1="組合科學 (物理、生物)"),K5*10,K5*5)</f>
        <v>4.4999999999999998E-9</v>
      </c>
      <c r="N132" s="43">
        <f>L5*5</f>
        <v>4.7500000000000003E-9</v>
      </c>
    </row>
    <row r="133" spans="1:14">
      <c r="A133" s="43" t="s">
        <v>446</v>
      </c>
      <c r="B133" s="43" t="s">
        <v>546</v>
      </c>
      <c r="C133" s="162" t="s">
        <v>214</v>
      </c>
      <c r="D133" s="43">
        <f t="shared" si="91"/>
        <v>1.9750000000000001E-8</v>
      </c>
      <c r="E133" s="43">
        <f>C5*7</f>
        <v>7.0000000000000006E-10</v>
      </c>
      <c r="F133" s="43">
        <f>D5*10</f>
        <v>2.0000000000000001E-9</v>
      </c>
      <c r="G133" s="43">
        <f>E5*10</f>
        <v>3E-9</v>
      </c>
      <c r="H133" s="43">
        <f>F5*7</f>
        <v>2.8000000000000003E-9</v>
      </c>
      <c r="I133" s="43">
        <f t="shared" ref="I133:N133" si="92">G5*5</f>
        <v>2.5000000000000001E-9</v>
      </c>
      <c r="J133" s="43">
        <f t="shared" si="92"/>
        <v>3E-9</v>
      </c>
      <c r="K133" s="43">
        <f t="shared" si="92"/>
        <v>3.4999999999999999E-9</v>
      </c>
      <c r="L133" s="43">
        <f t="shared" si="92"/>
        <v>4.0000000000000002E-9</v>
      </c>
      <c r="M133" s="43">
        <f t="shared" si="92"/>
        <v>4.4999999999999998E-9</v>
      </c>
      <c r="N133" s="43">
        <f t="shared" si="92"/>
        <v>4.7500000000000003E-9</v>
      </c>
    </row>
    <row r="134" spans="1:14">
      <c r="A134" s="43" t="s">
        <v>447</v>
      </c>
      <c r="B134" s="43" t="s">
        <v>547</v>
      </c>
      <c r="C134" s="162" t="s">
        <v>214</v>
      </c>
      <c r="D134" s="43">
        <f t="shared" si="91"/>
        <v>3.875E-8</v>
      </c>
      <c r="E134" s="43">
        <f>C5*7</f>
        <v>7.0000000000000006E-10</v>
      </c>
      <c r="F134" s="43">
        <f>D5*10</f>
        <v>2.0000000000000001E-9</v>
      </c>
      <c r="G134" s="43">
        <f>E5*7</f>
        <v>2.0999999999999998E-9</v>
      </c>
      <c r="H134" s="43">
        <f>F5*7</f>
        <v>2.8000000000000003E-9</v>
      </c>
      <c r="I134" s="43">
        <f>G5*5</f>
        <v>2.5000000000000001E-9</v>
      </c>
      <c r="J134" s="43">
        <f>H5*5</f>
        <v>3E-9</v>
      </c>
      <c r="K134" s="43">
        <f>I5*5</f>
        <v>3.4999999999999999E-9</v>
      </c>
      <c r="L134" s="43">
        <f>J5*5</f>
        <v>4.0000000000000002E-9</v>
      </c>
      <c r="M134" s="43">
        <f>K5*5</f>
        <v>4.4999999999999998E-9</v>
      </c>
      <c r="N134" s="43">
        <f>L5*5*5</f>
        <v>2.3750000000000001E-8</v>
      </c>
    </row>
    <row r="135" spans="1:14">
      <c r="A135" s="43" t="s">
        <v>448</v>
      </c>
      <c r="B135" s="43" t="s">
        <v>548</v>
      </c>
      <c r="C135" s="162" t="s">
        <v>214</v>
      </c>
      <c r="D135" s="43">
        <f t="shared" si="91"/>
        <v>1.8250000000000001E-8</v>
      </c>
      <c r="E135" s="43">
        <f>C5*7</f>
        <v>7.0000000000000006E-10</v>
      </c>
      <c r="F135" s="43">
        <f>D5*10</f>
        <v>2.0000000000000001E-9</v>
      </c>
      <c r="G135" s="43">
        <f>E5*10</f>
        <v>3E-9</v>
      </c>
      <c r="H135" s="43">
        <f>F5*7</f>
        <v>2.8000000000000003E-9</v>
      </c>
      <c r="I135" s="43">
        <f>G5*5</f>
        <v>2.5000000000000001E-9</v>
      </c>
      <c r="J135" s="43">
        <f>H5*5</f>
        <v>3E-9</v>
      </c>
      <c r="K135" s="43">
        <f>I5*5</f>
        <v>3.4999999999999999E-9</v>
      </c>
      <c r="L135" s="43">
        <f>J5*5</f>
        <v>4.0000000000000002E-9</v>
      </c>
      <c r="M135" s="43">
        <f t="shared" ref="M135" si="93">K5</f>
        <v>8.9999999999999999E-10</v>
      </c>
      <c r="N135" s="43">
        <f>L5*5</f>
        <v>4.7500000000000003E-9</v>
      </c>
    </row>
    <row r="136" spans="1:14">
      <c r="A136" s="43" t="s">
        <v>449</v>
      </c>
      <c r="B136" s="43" t="s">
        <v>549</v>
      </c>
      <c r="C136" s="162" t="s">
        <v>606</v>
      </c>
      <c r="D136" s="43">
        <f>LARGE((E136:N136),1)+LARGE((E136:N136),2)+LARGE((E136:N136),3)+LARGE((E136:N136),4)+LARGE((E136:N136),5)+LARGE((E136:N136),6)</f>
        <v>2.475E-8</v>
      </c>
      <c r="E136" s="43">
        <f>C5*7</f>
        <v>7.0000000000000006E-10</v>
      </c>
      <c r="F136" s="43">
        <f>D5*10</f>
        <v>2.0000000000000001E-9</v>
      </c>
      <c r="G136" s="43">
        <f>E5*10</f>
        <v>3E-9</v>
      </c>
      <c r="H136" s="43">
        <f>F5*7</f>
        <v>2.8000000000000003E-9</v>
      </c>
      <c r="I136" s="43">
        <f>G5*10</f>
        <v>5.0000000000000001E-9</v>
      </c>
      <c r="J136" s="43">
        <f>IF(OR(H1="化學",H1="生物",H1="組合科學 (生物、化學)"),H5*10,H5*5)</f>
        <v>3E-9</v>
      </c>
      <c r="K136" s="43">
        <f>IF(OR(I1="化學",I1="生物",I1="組合科學 (生物、化學)"),I5*10,I5*5)</f>
        <v>3.4999999999999999E-9</v>
      </c>
      <c r="L136" s="43">
        <f>IF(OR(J1="化學",J1="生物",J1="組合科學 (生物、化學)"),J5*10,J5*5)</f>
        <v>4.0000000000000002E-9</v>
      </c>
      <c r="M136" s="43">
        <f>IF(OR(K1="化學",K1="生物",K1="組合科學 (生物、化學)"),K5*10,K5*5)</f>
        <v>4.4999999999999998E-9</v>
      </c>
      <c r="N136" s="43">
        <f>L5*5</f>
        <v>4.7500000000000003E-9</v>
      </c>
    </row>
    <row r="137" spans="1:14">
      <c r="A137" s="43" t="s">
        <v>450</v>
      </c>
      <c r="B137" s="43" t="s">
        <v>550</v>
      </c>
      <c r="C137" s="162" t="s">
        <v>214</v>
      </c>
      <c r="D137" s="43">
        <f t="shared" si="91"/>
        <v>1.9750000000000001E-8</v>
      </c>
      <c r="E137" s="43">
        <f>C5*7</f>
        <v>7.0000000000000006E-10</v>
      </c>
      <c r="F137" s="43">
        <f>D5*10</f>
        <v>2.0000000000000001E-9</v>
      </c>
      <c r="G137" s="43">
        <f>E5*7</f>
        <v>2.0999999999999998E-9</v>
      </c>
      <c r="H137" s="43">
        <f>F5*7</f>
        <v>2.8000000000000003E-9</v>
      </c>
      <c r="I137" s="43">
        <f>G5*5</f>
        <v>2.5000000000000001E-9</v>
      </c>
      <c r="J137" s="43">
        <f>IF(OR(H1="化學",H1="組合科學 (物理、化學)",H1="組合科學 (生物、化學)",H1="設計及應用科技",H1="視覺藝術"),H5*10,H5*5)</f>
        <v>3E-9</v>
      </c>
      <c r="K137" s="43">
        <f>IF(OR(I1="化學",I1="組合科學 (物理、化學)",I1="組合科學 (生物、化學)",I1="設計及應用科技",I1="視覺藝術"),I5*10,I5*5)</f>
        <v>3.4999999999999999E-9</v>
      </c>
      <c r="L137" s="43">
        <f>IF(OR(J1="化學",J1="組合科學 (物理、化學)",J1="組合科學 (生物、化學)",J1="設計及應用科技",J1="視覺藝術"),J5*10,J5*5)</f>
        <v>4.0000000000000002E-9</v>
      </c>
      <c r="M137" s="43">
        <f>IF(OR(K1="化學",K1="組合科學 (物理、化學)",K1="組合科學 (生物、化學)",K1="設計及應用科技",K1="視覺藝術"),K5*10,K5*5)</f>
        <v>4.4999999999999998E-9</v>
      </c>
      <c r="N137" s="43">
        <f>L5*5</f>
        <v>4.7500000000000003E-9</v>
      </c>
    </row>
    <row r="138" spans="1:14">
      <c r="A138" s="43" t="s">
        <v>451</v>
      </c>
      <c r="B138" s="43" t="s">
        <v>551</v>
      </c>
      <c r="C138" s="162" t="s">
        <v>214</v>
      </c>
      <c r="D138" s="43">
        <f>LARGE((E138:N138),1)+LARGE((E138:N138),2)+LARGE((E138:N138),3)+LARGE((E138:N138),4)+LARGE((E138:N138),5)</f>
        <v>2.175E-8</v>
      </c>
      <c r="E138" s="43">
        <f>C5*7</f>
        <v>7.0000000000000006E-10</v>
      </c>
      <c r="F138" s="43">
        <f>D5*10</f>
        <v>2.0000000000000001E-9</v>
      </c>
      <c r="G138" s="43">
        <f>E5*10</f>
        <v>3E-9</v>
      </c>
      <c r="H138" s="43">
        <f>F5*7</f>
        <v>2.8000000000000003E-9</v>
      </c>
      <c r="I138" s="43">
        <f>G5*10</f>
        <v>5.0000000000000001E-9</v>
      </c>
      <c r="J138" s="43">
        <f>IF(OR(H1="物理",H1="化學",H1="組合科學 (物理、化學)",H1="組合科學 (生物、化學)",H1="組合科學 (物理、生物)"),H5*10,H5*5)</f>
        <v>3E-9</v>
      </c>
      <c r="K138" s="43">
        <f>IF(OR(I1="物理",I1="化學",I1="組合科學 (物理、化學)",I1="組合科學 (生物、化學)",I1="組合科學 (物理、生物)"),I5*10,I5*5)</f>
        <v>3.4999999999999999E-9</v>
      </c>
      <c r="L138" s="43">
        <f>IF(OR(J1="物理",J1="化學",J1="組合科學 (物理、化學)",J1="組合科學 (生物、化學)",J1="組合科學 (物理、生物)"),J5*10,J5*5)</f>
        <v>4.0000000000000002E-9</v>
      </c>
      <c r="M138" s="43">
        <f>IF(OR(K1="物理",K1="化學",K1="組合科學 (物理、化學)",K1="組合科學 (生物、化學)",K1="組合科學 (物理、生物)"),K5*10,K5*5)</f>
        <v>4.4999999999999998E-9</v>
      </c>
      <c r="N138" s="43">
        <f>L5*5</f>
        <v>4.7500000000000003E-9</v>
      </c>
    </row>
    <row r="139" spans="1:14">
      <c r="A139" s="43" t="s">
        <v>452</v>
      </c>
      <c r="B139" s="43" t="s">
        <v>552</v>
      </c>
      <c r="C139" s="162" t="s">
        <v>214</v>
      </c>
      <c r="D139" s="43">
        <f t="shared" si="91"/>
        <v>2.175E-8</v>
      </c>
      <c r="E139" s="43">
        <f>C5*7</f>
        <v>7.0000000000000006E-10</v>
      </c>
      <c r="F139" s="43">
        <f>D5*10</f>
        <v>2.0000000000000001E-9</v>
      </c>
      <c r="G139" s="43">
        <f>E5*10</f>
        <v>3E-9</v>
      </c>
      <c r="H139" s="43">
        <f>F5*7</f>
        <v>2.8000000000000003E-9</v>
      </c>
      <c r="I139" s="43">
        <f>G5*10</f>
        <v>5.0000000000000001E-9</v>
      </c>
      <c r="J139" s="43">
        <f>IF(OR(H1="物理",H1="化學",H1="組合科學 (物理、化學)",H1="組合科學 (生物、化學)",H1="組合科學 (物理、生物)"),H5*10,H5*5)</f>
        <v>3E-9</v>
      </c>
      <c r="K139" s="43">
        <f>IF(OR(I1="物理",I1="化學",I1="組合科學 (物理、化學)",I1="組合科學 (生物、化學)",I1="組合科學 (物理、生物)"),I5*10,I5*5)</f>
        <v>3.4999999999999999E-9</v>
      </c>
      <c r="L139" s="43">
        <f>IF(OR(J1="物理",J1="化學",J1="組合科學 (物理、化學)",J1="組合科學 (生物、化學)",J1="組合科學 (物理、生物)"),J5*10,J5*5)</f>
        <v>4.0000000000000002E-9</v>
      </c>
      <c r="M139" s="43">
        <f>IF(OR(K1="物理",K1="化學",K1="組合科學 (物理、化學)",K1="組合科學 (生物、化學)",K1="組合科學 (物理、生物)"),K5*10,K5*5)</f>
        <v>4.4999999999999998E-9</v>
      </c>
      <c r="N139" s="43">
        <f>L5*5</f>
        <v>4.7500000000000003E-9</v>
      </c>
    </row>
    <row r="140" spans="1:14">
      <c r="A140" s="43" t="s">
        <v>453</v>
      </c>
      <c r="B140" s="43" t="s">
        <v>553</v>
      </c>
      <c r="C140" s="162" t="s">
        <v>214</v>
      </c>
      <c r="D140" s="43">
        <f t="shared" si="91"/>
        <v>1.9750000000000001E-8</v>
      </c>
      <c r="E140" s="43">
        <f>C5*7</f>
        <v>7.0000000000000006E-10</v>
      </c>
      <c r="F140" s="43">
        <f>D5*10</f>
        <v>2.0000000000000001E-9</v>
      </c>
      <c r="G140" s="43">
        <f>E5*10</f>
        <v>3E-9</v>
      </c>
      <c r="H140" s="43">
        <f>F5*7</f>
        <v>2.8000000000000003E-9</v>
      </c>
      <c r="I140" s="43">
        <f t="shared" ref="I140:N140" si="94">G5*5</f>
        <v>2.5000000000000001E-9</v>
      </c>
      <c r="J140" s="43">
        <f t="shared" si="94"/>
        <v>3E-9</v>
      </c>
      <c r="K140" s="43">
        <f t="shared" si="94"/>
        <v>3.4999999999999999E-9</v>
      </c>
      <c r="L140" s="43">
        <f t="shared" si="94"/>
        <v>4.0000000000000002E-9</v>
      </c>
      <c r="M140" s="43">
        <f t="shared" si="94"/>
        <v>4.4999999999999998E-9</v>
      </c>
      <c r="N140" s="43">
        <f t="shared" si="94"/>
        <v>4.7500000000000003E-9</v>
      </c>
    </row>
    <row r="141" spans="1:14">
      <c r="A141" s="43" t="s">
        <v>454</v>
      </c>
      <c r="B141" s="43" t="s">
        <v>554</v>
      </c>
      <c r="C141" s="162" t="s">
        <v>214</v>
      </c>
      <c r="D141" s="43">
        <f t="shared" si="91"/>
        <v>1.9750000000000001E-8</v>
      </c>
      <c r="E141" s="43">
        <f>C5*7</f>
        <v>7.0000000000000006E-10</v>
      </c>
      <c r="F141" s="43">
        <f>D5*10</f>
        <v>2.0000000000000001E-9</v>
      </c>
      <c r="G141" s="43">
        <f>E5*10</f>
        <v>3E-9</v>
      </c>
      <c r="H141" s="43">
        <f>F5*7</f>
        <v>2.8000000000000003E-9</v>
      </c>
      <c r="I141" s="43">
        <f t="shared" ref="I141:N141" si="95">G5*5</f>
        <v>2.5000000000000001E-9</v>
      </c>
      <c r="J141" s="43">
        <f t="shared" si="95"/>
        <v>3E-9</v>
      </c>
      <c r="K141" s="43">
        <f t="shared" si="95"/>
        <v>3.4999999999999999E-9</v>
      </c>
      <c r="L141" s="43">
        <f t="shared" si="95"/>
        <v>4.0000000000000002E-9</v>
      </c>
      <c r="M141" s="43">
        <f t="shared" si="95"/>
        <v>4.4999999999999998E-9</v>
      </c>
      <c r="N141" s="43">
        <f t="shared" si="95"/>
        <v>4.7500000000000003E-9</v>
      </c>
    </row>
    <row r="142" spans="1:14">
      <c r="A142" s="43" t="s">
        <v>455</v>
      </c>
      <c r="B142" s="43" t="s">
        <v>555</v>
      </c>
      <c r="C142" s="162" t="s">
        <v>214</v>
      </c>
      <c r="D142" s="43">
        <f t="shared" si="91"/>
        <v>2.0749999999999997E-8</v>
      </c>
      <c r="E142" s="43">
        <f>C5*10</f>
        <v>1.0000000000000001E-9</v>
      </c>
      <c r="F142" s="43">
        <f>D5*10</f>
        <v>2.0000000000000001E-9</v>
      </c>
      <c r="G142" s="43">
        <f>E5*10</f>
        <v>3E-9</v>
      </c>
      <c r="H142" s="43">
        <f>F5*10</f>
        <v>4.0000000000000002E-9</v>
      </c>
      <c r="I142" s="43">
        <f>G5*5</f>
        <v>2.5000000000000001E-9</v>
      </c>
      <c r="J142" s="43">
        <f>IF(OR(H1="設計與應用科技",H1="視覺藝術"),H5*10,H5*5)</f>
        <v>3E-9</v>
      </c>
      <c r="K142" s="43">
        <f>IF(OR(I1="設計與應用科技",I1="視覺藝術"),I5*10,I5*5)</f>
        <v>3.4999999999999999E-9</v>
      </c>
      <c r="L142" s="43">
        <f>IF(OR(J1="設計與應用科技",J1="視覺藝術"),J5*10,J5*5)</f>
        <v>4.0000000000000002E-9</v>
      </c>
      <c r="M142" s="43">
        <f>IF(OR(K1="設計與應用科技",K1="視覺藝術"),K5*10,K5*5)</f>
        <v>4.4999999999999998E-9</v>
      </c>
      <c r="N142" s="43">
        <f>L5*5</f>
        <v>4.7500000000000003E-9</v>
      </c>
    </row>
    <row r="143" spans="1:14">
      <c r="A143" s="43" t="s">
        <v>456</v>
      </c>
      <c r="B143" s="43" t="s">
        <v>556</v>
      </c>
      <c r="C143" s="162" t="s">
        <v>214</v>
      </c>
      <c r="D143" s="43">
        <f t="shared" si="91"/>
        <v>1.9750000000000001E-8</v>
      </c>
      <c r="E143" s="43">
        <f>C5*7</f>
        <v>7.0000000000000006E-10</v>
      </c>
      <c r="F143" s="43">
        <f>D5*10</f>
        <v>2.0000000000000001E-9</v>
      </c>
      <c r="G143" s="43">
        <f>E5*10</f>
        <v>3E-9</v>
      </c>
      <c r="H143" s="43">
        <f>F5*7</f>
        <v>2.8000000000000003E-9</v>
      </c>
      <c r="I143" s="43">
        <f t="shared" ref="I143:N143" si="96">G5*5</f>
        <v>2.5000000000000001E-9</v>
      </c>
      <c r="J143" s="43">
        <f t="shared" si="96"/>
        <v>3E-9</v>
      </c>
      <c r="K143" s="43">
        <f t="shared" si="96"/>
        <v>3.4999999999999999E-9</v>
      </c>
      <c r="L143" s="43">
        <f t="shared" si="96"/>
        <v>4.0000000000000002E-9</v>
      </c>
      <c r="M143" s="43">
        <f t="shared" si="96"/>
        <v>4.4999999999999998E-9</v>
      </c>
      <c r="N143" s="43">
        <f t="shared" si="96"/>
        <v>4.7500000000000003E-9</v>
      </c>
    </row>
    <row r="144" spans="1:14">
      <c r="A144" s="43" t="s">
        <v>457</v>
      </c>
      <c r="B144" s="43" t="s">
        <v>557</v>
      </c>
      <c r="C144" s="162" t="s">
        <v>214</v>
      </c>
      <c r="D144" s="43">
        <f t="shared" si="91"/>
        <v>1.9750000000000001E-8</v>
      </c>
      <c r="E144" s="43">
        <f>C5*7</f>
        <v>7.0000000000000006E-10</v>
      </c>
      <c r="F144" s="43">
        <f>D5*10</f>
        <v>2.0000000000000001E-9</v>
      </c>
      <c r="G144" s="43">
        <f>E5*10</f>
        <v>3E-9</v>
      </c>
      <c r="H144" s="43">
        <f>F5*7</f>
        <v>2.8000000000000003E-9</v>
      </c>
      <c r="I144" s="43">
        <f t="shared" ref="I144:N144" si="97">G5*5</f>
        <v>2.5000000000000001E-9</v>
      </c>
      <c r="J144" s="43">
        <f t="shared" si="97"/>
        <v>3E-9</v>
      </c>
      <c r="K144" s="43">
        <f t="shared" si="97"/>
        <v>3.4999999999999999E-9</v>
      </c>
      <c r="L144" s="43">
        <f t="shared" si="97"/>
        <v>4.0000000000000002E-9</v>
      </c>
      <c r="M144" s="43">
        <f t="shared" si="97"/>
        <v>4.4999999999999998E-9</v>
      </c>
      <c r="N144" s="43">
        <f t="shared" si="97"/>
        <v>4.7500000000000003E-9</v>
      </c>
    </row>
    <row r="145" spans="1:14">
      <c r="A145" s="43" t="s">
        <v>458</v>
      </c>
      <c r="B145" s="43" t="s">
        <v>558</v>
      </c>
      <c r="C145" s="162" t="s">
        <v>214</v>
      </c>
      <c r="D145" s="43">
        <f t="shared" si="91"/>
        <v>1.9750000000000001E-8</v>
      </c>
      <c r="E145" s="43">
        <f>C5*7</f>
        <v>7.0000000000000006E-10</v>
      </c>
      <c r="F145" s="43">
        <f>D5*10</f>
        <v>2.0000000000000001E-9</v>
      </c>
      <c r="G145" s="43">
        <f>E5*10</f>
        <v>3E-9</v>
      </c>
      <c r="H145" s="43">
        <f>F5*7</f>
        <v>2.8000000000000003E-9</v>
      </c>
      <c r="I145" s="43">
        <f t="shared" ref="I145:N145" si="98">G5*5</f>
        <v>2.5000000000000001E-9</v>
      </c>
      <c r="J145" s="43">
        <f t="shared" si="98"/>
        <v>3E-9</v>
      </c>
      <c r="K145" s="43">
        <f t="shared" si="98"/>
        <v>3.4999999999999999E-9</v>
      </c>
      <c r="L145" s="43">
        <f t="shared" si="98"/>
        <v>4.0000000000000002E-9</v>
      </c>
      <c r="M145" s="43">
        <f t="shared" si="98"/>
        <v>4.4999999999999998E-9</v>
      </c>
      <c r="N145" s="43">
        <f t="shared" si="98"/>
        <v>4.7500000000000003E-9</v>
      </c>
    </row>
    <row r="146" spans="1:14">
      <c r="A146" s="43" t="s">
        <v>459</v>
      </c>
      <c r="B146" s="43" t="s">
        <v>559</v>
      </c>
      <c r="C146" s="162" t="s">
        <v>214</v>
      </c>
      <c r="D146" s="43">
        <f t="shared" si="91"/>
        <v>2.175E-8</v>
      </c>
      <c r="E146" s="43">
        <f>C5*7</f>
        <v>7.0000000000000006E-10</v>
      </c>
      <c r="F146" s="43">
        <f>D5*7</f>
        <v>1.4000000000000001E-9</v>
      </c>
      <c r="G146" s="43">
        <f>E5*10</f>
        <v>3E-9</v>
      </c>
      <c r="H146" s="43">
        <f>F5*7</f>
        <v>2.8000000000000003E-9</v>
      </c>
      <c r="I146" s="43">
        <f>G5*10</f>
        <v>5.0000000000000001E-9</v>
      </c>
      <c r="J146" s="43">
        <f>IF(OR(H1="物理",H1="化學",H1="生物",H1="組合科學 (物理、化學)",H1="組合科學 (生物、化學)",H1="組合科學 (物理、生物)"),H5*10,H5*5)</f>
        <v>3E-9</v>
      </c>
      <c r="K146" s="43">
        <f>IF(OR(I1="物理",I1="化學",I1="生物",I1="組合科學 (物理、化學)",I1="組合科學 (生物、化學)",I1="組合科學 (物理、生物)"),I5*10,I5*5)</f>
        <v>3.4999999999999999E-9</v>
      </c>
      <c r="L146" s="43">
        <f>IF(OR(J1="物理",J1="化學",J1="生物",J1="組合科學 (物理、化學)",J1="組合科學 (生物、化學)",J1="組合科學 (物理、生物)"),J5*10,J5*5)</f>
        <v>4.0000000000000002E-9</v>
      </c>
      <c r="M146" s="43">
        <f>IF(OR(K1="物理",K1="化學",K1="生物",K1="組合科學 (物理、化學)",K1="組合科學 (生物、化學)",K1="組合科學 (物理、生物)"),K5*10,K5*5)</f>
        <v>4.4999999999999998E-9</v>
      </c>
      <c r="N146" s="43">
        <f>L5*5</f>
        <v>4.7500000000000003E-9</v>
      </c>
    </row>
    <row r="147" spans="1:14" s="49" customFormat="1">
      <c r="A147" s="49" t="s">
        <v>460</v>
      </c>
      <c r="B147" s="49" t="s">
        <v>560</v>
      </c>
      <c r="C147" s="163" t="s">
        <v>606</v>
      </c>
      <c r="D147" s="49">
        <f>LARGE((E147:N147),1)+LARGE((E147:N147),2)+LARGE((E147:N147),3)+LARGE((E147:N147),4)+LARGE((E147:N147),5)+LARGE((E147:N147),6)</f>
        <v>2.2750000000000002E-8</v>
      </c>
      <c r="E147" s="49">
        <f>C5*10</f>
        <v>1.0000000000000001E-9</v>
      </c>
      <c r="F147" s="49">
        <f>D5*10</f>
        <v>2.0000000000000001E-9</v>
      </c>
      <c r="G147" s="49">
        <f>E5*10</f>
        <v>3E-9</v>
      </c>
      <c r="H147" s="49">
        <f>F5*7</f>
        <v>2.8000000000000003E-9</v>
      </c>
      <c r="I147" s="49">
        <f>G5*5</f>
        <v>2.5000000000000001E-9</v>
      </c>
      <c r="J147" s="49">
        <f>IF(OR(H1="物理",H1="化學",H1="生物",H1="組合科學 (物理、化學)",H1="組合科學 (生物、化學)",H1="組合科學 (物理、生物)"),H5*10,H5*5)</f>
        <v>3E-9</v>
      </c>
      <c r="K147" s="49">
        <f>IF(OR(I1="物理",I1="化學",I1="生物",I1="組合科學 (物理、化學)",I1="組合科學 (生物、化學)",I1="組合科學 (物理、生物)",I1="綜合科學"),I5*10,I5*5)</f>
        <v>3.4999999999999999E-9</v>
      </c>
      <c r="L147" s="49">
        <f>IF(OR(J1="物理",J1="化學",J1="生物",J1="組合科學 (物理、化學)",J1="組合科學 (生物、化學)",J1="組合科學 (物理、生物)",J1="綜合科學"),J5*10,J5*5)</f>
        <v>4.0000000000000002E-9</v>
      </c>
      <c r="M147" s="49">
        <f>IF(OR(K1="物理",K1="化學",K1="生物",K1="組合科學 (物理、化學)",K1="組合科學 (生物、化學)",K1="組合科學 (物理、生物)",K1="綜合科學"),K5*10,K5*5)</f>
        <v>4.4999999999999998E-9</v>
      </c>
      <c r="N147" s="49">
        <f>L5*5</f>
        <v>4.7500000000000003E-9</v>
      </c>
    </row>
    <row r="148" spans="1:14">
      <c r="A148" s="43" t="s">
        <v>461</v>
      </c>
      <c r="B148" s="43" t="s">
        <v>561</v>
      </c>
      <c r="C148" s="162" t="s">
        <v>606</v>
      </c>
      <c r="D148" s="43">
        <f t="shared" ref="D148:D151" si="99">LARGE((E148:N148),1)+LARGE((E148:N148),2)+LARGE((E148:N148),3)+LARGE((E148:N148),4)+LARGE((E148:N148),5)+LARGE((E148:N148),6)</f>
        <v>2.255E-8</v>
      </c>
      <c r="E148" s="43">
        <f>C5*10</f>
        <v>1.0000000000000001E-9</v>
      </c>
      <c r="F148" s="43">
        <f>D5*10</f>
        <v>2.0000000000000001E-9</v>
      </c>
      <c r="G148" s="43">
        <f>E5*7</f>
        <v>2.0999999999999998E-9</v>
      </c>
      <c r="H148" s="43">
        <f>F5*7</f>
        <v>2.8000000000000003E-9</v>
      </c>
      <c r="I148" s="43">
        <f>G5*5</f>
        <v>2.5000000000000001E-9</v>
      </c>
      <c r="J148" s="43">
        <f>IF(OR(H1="物理",H1="生物",H1="組合科學 (物理、化學)",H1="組合科學 (生物、化學)",H1="組合科學 (物理、生物)"),H5*10,H5*5)</f>
        <v>3E-9</v>
      </c>
      <c r="K148" s="43">
        <f>IF(OR(I1="物理",I1="生物",I1="組合科學 (物理、化學)",I1="組合科學 (生物、化學)",I1="組合科學 (物理、生物)",I1="綜合科學"),I5*10,I5*5)</f>
        <v>3.4999999999999999E-9</v>
      </c>
      <c r="L148" s="43">
        <f>IF(OR(J1="物理",J1="生物",J1="組合科學 (物理、化學)",J1="組合科學 (生物、化學)",J1="組合科學 (物理、生物)",J1="綜合科學"),J5*10,J5*5)</f>
        <v>4.0000000000000002E-9</v>
      </c>
      <c r="M148" s="43">
        <f>IF(OR(K1="物理",K1="生物",K1="組合科學 (物理、化學)",K1="組合科學 (生物、化學)",K1="組合科學 (物理、生物)",K1="綜合科學"),K5*10,K5*5)</f>
        <v>4.4999999999999998E-9</v>
      </c>
      <c r="N148" s="43">
        <f>L5*5</f>
        <v>4.7500000000000003E-9</v>
      </c>
    </row>
    <row r="149" spans="1:14">
      <c r="A149" s="43" t="s">
        <v>462</v>
      </c>
      <c r="B149" s="43" t="s">
        <v>562</v>
      </c>
      <c r="C149" s="162" t="s">
        <v>606</v>
      </c>
      <c r="D149" s="43">
        <f t="shared" si="99"/>
        <v>2.255E-8</v>
      </c>
      <c r="E149" s="43">
        <f>C5*10</f>
        <v>1.0000000000000001E-9</v>
      </c>
      <c r="F149" s="43">
        <f>D5*10</f>
        <v>2.0000000000000001E-9</v>
      </c>
      <c r="G149" s="43">
        <f>E5*7</f>
        <v>2.0999999999999998E-9</v>
      </c>
      <c r="H149" s="43">
        <f>F5*7</f>
        <v>2.8000000000000003E-9</v>
      </c>
      <c r="I149" s="43">
        <f>G5*5</f>
        <v>2.5000000000000001E-9</v>
      </c>
      <c r="J149" s="43">
        <f>IF(OR(H1="物理",H1="生物",H1="組合科學 (物理、生物)"),H5*10,H5*5)</f>
        <v>3E-9</v>
      </c>
      <c r="K149" s="43">
        <f>IF(OR(I1="物理",I1="生物",I1="組合科學 (物理、生物)"),I5*10,I5*5)</f>
        <v>3.4999999999999999E-9</v>
      </c>
      <c r="L149" s="43">
        <f>IF(OR(J1="物理",J1="生物",J1="組合科學 (物理、生物)"),J5*10,J5*5)</f>
        <v>4.0000000000000002E-9</v>
      </c>
      <c r="M149" s="43">
        <f>IF(OR(K1="物理",K1="生物",K1="組合科學 (物理、生物)"),K5*10,K5*5)</f>
        <v>4.4999999999999998E-9</v>
      </c>
      <c r="N149" s="43">
        <f>IF(OR(L1="物理",L1="生物",L1="組合科學 (物理、生物)"),L5*10,L5*5)</f>
        <v>4.7500000000000003E-9</v>
      </c>
    </row>
    <row r="150" spans="1:14">
      <c r="A150" s="43" t="s">
        <v>463</v>
      </c>
      <c r="B150" s="43" t="s">
        <v>563</v>
      </c>
      <c r="C150" s="162" t="s">
        <v>215</v>
      </c>
      <c r="D150" s="43">
        <f>SUM(E150:H150)+LARGE((I150:N150),1)+LARGE((I150:N150),2)</f>
        <v>1.925E-8</v>
      </c>
      <c r="E150" s="43">
        <f>C5*10</f>
        <v>1.0000000000000001E-9</v>
      </c>
      <c r="F150" s="43">
        <f>D5*10</f>
        <v>2.0000000000000001E-9</v>
      </c>
      <c r="G150" s="43">
        <f>E5*10</f>
        <v>3E-9</v>
      </c>
      <c r="H150" s="43">
        <f>F5*10</f>
        <v>4.0000000000000002E-9</v>
      </c>
      <c r="I150" s="43">
        <f>G5*5</f>
        <v>2.5000000000000001E-9</v>
      </c>
      <c r="J150" s="43">
        <f>IF(OR(H1="生物",H1="組合科學 (生物、化學)",H1="組合科學 (物理、生物)"),H5*10,H5*5)</f>
        <v>3E-9</v>
      </c>
      <c r="K150" s="43">
        <f>IF(OR(I1="生物",I1="組合科學 (生物、化學)",I1="組合科學 (物理、生物)"),I5*10,I5*5)</f>
        <v>3.4999999999999999E-9</v>
      </c>
      <c r="L150" s="43">
        <f>IF(OR(J1="生物",J1="組合科學 (生物、化學)",J1="組合科學 (物理、生物)"),J5*10,J5*5)</f>
        <v>4.0000000000000002E-9</v>
      </c>
      <c r="M150" s="43">
        <f>IF(OR(K1="生物",K1="組合科學 (生物、化學)",K1="組合科學 (物理、生物)"),K5*10,K5*5)</f>
        <v>4.4999999999999998E-9</v>
      </c>
      <c r="N150" s="43">
        <f>L5*5</f>
        <v>4.7500000000000003E-9</v>
      </c>
    </row>
    <row r="151" spans="1:14">
      <c r="A151" s="43" t="s">
        <v>464</v>
      </c>
      <c r="B151" s="43" t="s">
        <v>564</v>
      </c>
      <c r="C151" s="162" t="s">
        <v>606</v>
      </c>
      <c r="D151" s="43">
        <f t="shared" si="99"/>
        <v>2.475E-8</v>
      </c>
      <c r="E151" s="43">
        <f>C5*7</f>
        <v>7.0000000000000006E-10</v>
      </c>
      <c r="F151" s="43">
        <f>D5*10</f>
        <v>2.0000000000000001E-9</v>
      </c>
      <c r="G151" s="43">
        <f>E5*10</f>
        <v>3E-9</v>
      </c>
      <c r="H151" s="43">
        <f>F5*7</f>
        <v>2.8000000000000003E-9</v>
      </c>
      <c r="I151" s="43">
        <f>G5*10</f>
        <v>5.0000000000000001E-9</v>
      </c>
      <c r="J151" s="43">
        <f>IF(OR(H1="物理",H1="化學",H1="生物",H1="組合科學 (物理、化學)",H1="組合科學 (生物、化學)",H1="組合科學 (物理、生物)"),H5*10,H5*5)</f>
        <v>3E-9</v>
      </c>
      <c r="K151" s="43">
        <f>IF(OR(I1="物理",I1="化學",I1="生物",I1="組合科學 (物理、化學)",I1="組合科學 (生物、化學)",I1="組合科學 (物理、生物)"),I5*10,I5*5)</f>
        <v>3.4999999999999999E-9</v>
      </c>
      <c r="L151" s="43">
        <f>IF(OR(J1="物理",J1="化學",J1="生物",J1="組合科學 (物理、化學)",J1="組合科學 (生物、化學)",J1="組合科學 (物理、生物)"),J5*10,J5*5)</f>
        <v>4.0000000000000002E-9</v>
      </c>
      <c r="M151" s="43">
        <f>IF(OR(K1="物理",K1="化學",K1="生物",K1="組合科學 (物理、化學)",K1="組合科學 (生物、化學)",K1="組合科學 (物理、生物)"),K5*10,K5*5)</f>
        <v>4.4999999999999998E-9</v>
      </c>
      <c r="N151" s="43">
        <f>L5*5</f>
        <v>4.7500000000000003E-9</v>
      </c>
    </row>
    <row r="152" spans="1:14">
      <c r="A152" s="43" t="s">
        <v>465</v>
      </c>
      <c r="B152" s="43" t="s">
        <v>565</v>
      </c>
      <c r="C152" s="162" t="s">
        <v>220</v>
      </c>
      <c r="D152" s="43">
        <f>SUM(E152:H152)+LARGE((I152:N152),1)+LARGE((I152:N152),2)</f>
        <v>1.625E-8</v>
      </c>
      <c r="E152" s="43">
        <f>C5*7</f>
        <v>7.0000000000000006E-10</v>
      </c>
      <c r="F152" s="43">
        <f>D5*7</f>
        <v>1.4000000000000001E-9</v>
      </c>
      <c r="G152" s="43">
        <f>E5*7</f>
        <v>2.0999999999999998E-9</v>
      </c>
      <c r="H152" s="43">
        <f>F5*7</f>
        <v>2.8000000000000003E-9</v>
      </c>
      <c r="I152" s="43">
        <f>G5*5</f>
        <v>2.5000000000000001E-9</v>
      </c>
      <c r="J152" s="43">
        <f>H5*5</f>
        <v>3E-9</v>
      </c>
      <c r="K152" s="43">
        <f t="shared" ref="K152:M152" si="100">I5*5</f>
        <v>3.4999999999999999E-9</v>
      </c>
      <c r="L152" s="43">
        <f t="shared" si="100"/>
        <v>4.0000000000000002E-9</v>
      </c>
      <c r="M152" s="43">
        <f t="shared" si="100"/>
        <v>4.4999999999999998E-9</v>
      </c>
      <c r="N152" s="43">
        <f>L5*5</f>
        <v>4.7500000000000003E-9</v>
      </c>
    </row>
    <row r="153" spans="1:14">
      <c r="A153" s="43" t="s">
        <v>466</v>
      </c>
      <c r="B153" s="43" t="s">
        <v>566</v>
      </c>
      <c r="C153" s="162" t="s">
        <v>214</v>
      </c>
      <c r="D153" s="43">
        <f t="shared" ref="D153:D172" si="101">LARGE((E153:N153),1)+LARGE((E153:N153),2)+LARGE((E153:N153),3)+LARGE((E153:N153),4)+LARGE((E153:N153),5)</f>
        <v>1.9750000000000001E-8</v>
      </c>
      <c r="E153" s="43">
        <f>C5*7</f>
        <v>7.0000000000000006E-10</v>
      </c>
      <c r="F153" s="43">
        <f>D5*10</f>
        <v>2.0000000000000001E-9</v>
      </c>
      <c r="G153" s="43">
        <f>E5*10</f>
        <v>3E-9</v>
      </c>
      <c r="H153" s="43">
        <f>F5*7</f>
        <v>2.8000000000000003E-9</v>
      </c>
      <c r="I153" s="43">
        <f t="shared" ref="I153:N153" si="102">G5*5</f>
        <v>2.5000000000000001E-9</v>
      </c>
      <c r="J153" s="43">
        <f t="shared" si="102"/>
        <v>3E-9</v>
      </c>
      <c r="K153" s="43">
        <f t="shared" si="102"/>
        <v>3.4999999999999999E-9</v>
      </c>
      <c r="L153" s="43">
        <f t="shared" si="102"/>
        <v>4.0000000000000002E-9</v>
      </c>
      <c r="M153" s="43">
        <f t="shared" si="102"/>
        <v>4.4999999999999998E-9</v>
      </c>
      <c r="N153" s="43">
        <f t="shared" si="102"/>
        <v>4.7500000000000003E-9</v>
      </c>
    </row>
    <row r="154" spans="1:14">
      <c r="A154" s="43" t="s">
        <v>467</v>
      </c>
      <c r="B154" s="43" t="s">
        <v>567</v>
      </c>
      <c r="C154" s="162" t="s">
        <v>214</v>
      </c>
      <c r="D154" s="43">
        <f t="shared" si="101"/>
        <v>2.175E-8</v>
      </c>
      <c r="E154" s="43">
        <f>C5*7</f>
        <v>7.0000000000000006E-10</v>
      </c>
      <c r="F154" s="43">
        <f>D5*10</f>
        <v>2.0000000000000001E-9</v>
      </c>
      <c r="G154" s="43">
        <f>E5*10</f>
        <v>3E-9</v>
      </c>
      <c r="H154" s="43">
        <f>F5*7</f>
        <v>2.8000000000000003E-9</v>
      </c>
      <c r="I154" s="43">
        <f>G5*10</f>
        <v>5.0000000000000001E-9</v>
      </c>
      <c r="J154" s="43">
        <f>IF(OR(H1="物理",H1="化學",H1="生物",H1="組合科學 (物理、化學)",H1="組合科學 (生物、化學)",H1="組合科學 (物理、生物)",H1="資訊及通訊科技"),H5*10,H5*5)</f>
        <v>3E-9</v>
      </c>
      <c r="K154" s="43">
        <f>IF(OR(I1="物理",I1="化學",I1="生物",I1="組合科學 (物理、化學)",I1="組合科學 (生物、化學)",I1="組合科學 (物理、生物)",I1="資訊及通訊科技"),I5*10,I5*5)</f>
        <v>3.4999999999999999E-9</v>
      </c>
      <c r="L154" s="43">
        <f>IF(OR(J1="物理",J1="化學",J1="生物",J1="組合科學 (物理、化學)",J1="組合科學 (生物、化學)",J1="組合科學 (物理、生物)",J1="資訊及通訊科技"),J5*10,J5*5)</f>
        <v>4.0000000000000002E-9</v>
      </c>
      <c r="M154" s="43">
        <f>IF(OR(K1="物理",K1="化學",K1="生物",K1="組合科學 (物理、化學)",K1="組合科學 (生物、化學)",K1="組合科學 (物理、生物)",K1="資訊及通訊科技"),K5*10,K5*5)</f>
        <v>4.4999999999999998E-9</v>
      </c>
      <c r="N154" s="43">
        <f>L5*5</f>
        <v>4.7500000000000003E-9</v>
      </c>
    </row>
    <row r="155" spans="1:14">
      <c r="A155" s="43" t="s">
        <v>468</v>
      </c>
      <c r="B155" s="43" t="s">
        <v>568</v>
      </c>
      <c r="C155" s="162" t="s">
        <v>214</v>
      </c>
      <c r="D155" s="43">
        <f t="shared" si="101"/>
        <v>2.175E-8</v>
      </c>
      <c r="E155" s="43">
        <f>C5*7</f>
        <v>7.0000000000000006E-10</v>
      </c>
      <c r="F155" s="43">
        <f>D5*10</f>
        <v>2.0000000000000001E-9</v>
      </c>
      <c r="G155" s="43">
        <f>E5*10</f>
        <v>3E-9</v>
      </c>
      <c r="H155" s="43">
        <f>F5*7</f>
        <v>2.8000000000000003E-9</v>
      </c>
      <c r="I155" s="43">
        <f>G5*10</f>
        <v>5.0000000000000001E-9</v>
      </c>
      <c r="J155" s="43">
        <f>IF(OR(H1="物理",H1="化學",H1="生物",H1="組合科學 (物理、化學)",H1="組合科學 (生物、化學)",H1="組合科學 (物理、生物)",H1="資訊及通訊科技"),H5*10,H5*5)</f>
        <v>3E-9</v>
      </c>
      <c r="K155" s="43">
        <f>IF(OR(I1="物理",I1="化學",I1="生物",I1="組合科學 (物理、化學)",I1="組合科學 (生物、化學)",I1="組合科學 (物理、生物)",I1="資訊及通訊科技"),I5*10,I5*5)</f>
        <v>3.4999999999999999E-9</v>
      </c>
      <c r="L155" s="43">
        <f>IF(OR(J1="物理",J1="化學",J1="生物",J1="組合科學 (物理、化學)",J1="組合科學 (生物、化學)",J1="組合科學 (物理、生物)",J1="資訊及通訊科技"),J5*10,J5*5)</f>
        <v>4.0000000000000002E-9</v>
      </c>
      <c r="M155" s="43">
        <f>IF(OR(K1="物理",K1="化學",K1="生物",K1="組合科學 (物理、化學)",K1="組合科學 (生物、化學)",K1="組合科學 (物理、生物)",K1="資訊及通訊科技"),K5*10,K5*5)</f>
        <v>4.4999999999999998E-9</v>
      </c>
      <c r="N155" s="43">
        <f>L5*5</f>
        <v>4.7500000000000003E-9</v>
      </c>
    </row>
    <row r="156" spans="1:14">
      <c r="A156" s="43" t="s">
        <v>469</v>
      </c>
      <c r="B156" s="43" t="s">
        <v>569</v>
      </c>
      <c r="C156" s="162" t="s">
        <v>214</v>
      </c>
      <c r="D156" s="43">
        <f t="shared" si="101"/>
        <v>2.2250000000000001E-8</v>
      </c>
      <c r="E156" s="43">
        <f>C5*7</f>
        <v>7.0000000000000006E-10</v>
      </c>
      <c r="F156" s="43">
        <f>D5*10</f>
        <v>2.0000000000000001E-9</v>
      </c>
      <c r="G156" s="43">
        <f>E5*10</f>
        <v>3E-9</v>
      </c>
      <c r="H156" s="43">
        <f>F5*10</f>
        <v>4.0000000000000002E-9</v>
      </c>
      <c r="I156" s="43">
        <f>G5*10</f>
        <v>5.0000000000000001E-9</v>
      </c>
      <c r="J156" s="43">
        <f>IF(OR(H1="物理",H1="組合科學 (物理、化學)",H1="組合科學 (物理、生物)"),H5*10,H5*5)</f>
        <v>3E-9</v>
      </c>
      <c r="K156" s="43">
        <f>IF(OR(I1="物理",I1="組合科學 (物理、化學)",I1="組合科學 (物理、生物)"),I5*10,I5*5)</f>
        <v>3.4999999999999999E-9</v>
      </c>
      <c r="L156" s="43">
        <f>IF(OR(J1="物理",J1="組合科學 (物理、化學)",J1="組合科學 (物理、生物)"),J5*10,J5*5)</f>
        <v>4.0000000000000002E-9</v>
      </c>
      <c r="M156" s="43">
        <f>IF(OR(K1="物理",K1="組合科學 (物理、化學)",K1="組合科學 (物理、生物)"),K5*10,K5*5)</f>
        <v>4.4999999999999998E-9</v>
      </c>
      <c r="N156" s="43">
        <f>L5*5</f>
        <v>4.7500000000000003E-9</v>
      </c>
    </row>
    <row r="157" spans="1:14">
      <c r="A157" s="43" t="s">
        <v>470</v>
      </c>
      <c r="B157" s="43" t="s">
        <v>570</v>
      </c>
      <c r="C157" s="162" t="s">
        <v>214</v>
      </c>
      <c r="D157" s="43">
        <f t="shared" si="101"/>
        <v>2.175E-8</v>
      </c>
      <c r="E157" s="43">
        <f>C5*7</f>
        <v>7.0000000000000006E-10</v>
      </c>
      <c r="F157" s="43">
        <f>D5*10</f>
        <v>2.0000000000000001E-9</v>
      </c>
      <c r="G157" s="43">
        <f>E5*10</f>
        <v>3E-9</v>
      </c>
      <c r="H157" s="43">
        <f>F5*7</f>
        <v>2.8000000000000003E-9</v>
      </c>
      <c r="I157" s="43">
        <f>G5*10</f>
        <v>5.0000000000000001E-9</v>
      </c>
      <c r="J157" s="43">
        <f>IF(OR(H1="物理",H1="化學",H1="生物",H1="組合科學 (物理、化學)",H1="組合科學 (生物、化學)",H1="組合科學 (物理、生物)",H1="資訊及通訊科技"),H5*10,H5*5)</f>
        <v>3E-9</v>
      </c>
      <c r="K157" s="43">
        <f>IF(OR(I1="物理",I1="化學",I1="生物",I1="組合科學 (物理、化學)",I1="組合科學 (生物、化學)",I1="組合科學 (物理、生物)",I1="資訊及通訊科技"),I5*10,I5*5)</f>
        <v>3.4999999999999999E-9</v>
      </c>
      <c r="L157" s="43">
        <f>IF(OR(J1="物理",J1="化學",J1="生物",J1="組合科學 (物理、化學)",J1="組合科學 (生物、化學)",J1="組合科學 (物理、生物)",J1="資訊及通訊科技"),J5*10,J5*5)</f>
        <v>4.0000000000000002E-9</v>
      </c>
      <c r="M157" s="43">
        <f>IF(OR(K1="物理",K1="化學",K1="生物",K1="組合科學 (物理、化學)",K1="組合科學 (生物、化學)",K1="組合科學 (物理、生物)",K1="資訊及通訊科技"),K5*10,K5*5)</f>
        <v>4.4999999999999998E-9</v>
      </c>
      <c r="N157" s="43">
        <f>L5*5</f>
        <v>4.7500000000000003E-9</v>
      </c>
    </row>
    <row r="158" spans="1:14">
      <c r="A158" s="43" t="s">
        <v>471</v>
      </c>
      <c r="B158" s="43" t="s">
        <v>571</v>
      </c>
      <c r="C158" s="162" t="s">
        <v>214</v>
      </c>
      <c r="D158" s="43">
        <f t="shared" si="101"/>
        <v>1.9750000000000001E-8</v>
      </c>
      <c r="E158" s="43">
        <f>C5*7</f>
        <v>7.0000000000000006E-10</v>
      </c>
      <c r="F158" s="43">
        <f>D5*10</f>
        <v>2.0000000000000001E-9</v>
      </c>
      <c r="G158" s="43">
        <f>E5*10</f>
        <v>3E-9</v>
      </c>
      <c r="H158" s="43">
        <f>F5*7</f>
        <v>2.8000000000000003E-9</v>
      </c>
      <c r="I158" s="43">
        <f>G5*5</f>
        <v>2.5000000000000001E-9</v>
      </c>
      <c r="J158" s="43">
        <f>IF(OR(H1="物理",H1="組合科學 (物理、化學)",H1="組合科學 (物理、生物)"),H5*10,H5*5)</f>
        <v>3E-9</v>
      </c>
      <c r="K158" s="43">
        <f>IF(OR(I1="物理",I1="組合科學 (物理、化學)",I1="組合科學 (物理、生物)"),I5*10,I5*5)</f>
        <v>3.4999999999999999E-9</v>
      </c>
      <c r="L158" s="43">
        <f>IF(OR(J1="物理",J1="組合科學 (物理、化學)",J1="組合科學 (物理、生物)"),J5*10,J5*5)</f>
        <v>4.0000000000000002E-9</v>
      </c>
      <c r="M158" s="43">
        <f>IF(OR(K1="物理",K1="組合科學 (物理、化學)",K1="組合科學 (物理、生物)"),K5*10,K5*5)</f>
        <v>4.4999999999999998E-9</v>
      </c>
      <c r="N158" s="43">
        <f>L5*5</f>
        <v>4.7500000000000003E-9</v>
      </c>
    </row>
    <row r="159" spans="1:14">
      <c r="A159" s="43" t="s">
        <v>472</v>
      </c>
      <c r="B159" s="43" t="s">
        <v>572</v>
      </c>
      <c r="C159" s="162" t="s">
        <v>215</v>
      </c>
      <c r="D159" s="43">
        <f>SUM(E159:H159)+LARGE((I159:N159),1)+LARGE((I159:N159),2)</f>
        <v>1.625E-8</v>
      </c>
      <c r="E159" s="43">
        <f>C5*7</f>
        <v>7.0000000000000006E-10</v>
      </c>
      <c r="F159" s="43">
        <f t="shared" ref="F159:H159" si="103">D5*7</f>
        <v>1.4000000000000001E-9</v>
      </c>
      <c r="G159" s="43">
        <f t="shared" si="103"/>
        <v>2.0999999999999998E-9</v>
      </c>
      <c r="H159" s="43">
        <f t="shared" si="103"/>
        <v>2.8000000000000003E-9</v>
      </c>
      <c r="I159" s="43">
        <f>G5*5</f>
        <v>2.5000000000000001E-9</v>
      </c>
      <c r="J159" s="43">
        <f t="shared" ref="J159:M159" si="104">H5*5</f>
        <v>3E-9</v>
      </c>
      <c r="K159" s="43">
        <f t="shared" si="104"/>
        <v>3.4999999999999999E-9</v>
      </c>
      <c r="L159" s="43">
        <f t="shared" si="104"/>
        <v>4.0000000000000002E-9</v>
      </c>
      <c r="M159" s="43">
        <f t="shared" si="104"/>
        <v>4.4999999999999998E-9</v>
      </c>
      <c r="N159" s="43">
        <f>L5*5</f>
        <v>4.7500000000000003E-9</v>
      </c>
    </row>
    <row r="160" spans="1:14" s="49" customFormat="1">
      <c r="A160" s="49" t="s">
        <v>473</v>
      </c>
      <c r="B160" s="49" t="s">
        <v>573</v>
      </c>
      <c r="C160" s="163" t="s">
        <v>214</v>
      </c>
      <c r="D160" s="49">
        <f t="shared" si="101"/>
        <v>2.175E-8</v>
      </c>
      <c r="E160" s="49">
        <f>C5*7</f>
        <v>7.0000000000000006E-10</v>
      </c>
      <c r="F160" s="49">
        <f>D5*10</f>
        <v>2.0000000000000001E-9</v>
      </c>
      <c r="G160" s="49">
        <f>E5*10</f>
        <v>3E-9</v>
      </c>
      <c r="H160" s="49">
        <f>F5*7</f>
        <v>2.8000000000000003E-9</v>
      </c>
      <c r="I160" s="49">
        <f>G5*10</f>
        <v>5.0000000000000001E-9</v>
      </c>
      <c r="J160" s="49">
        <f>IF(OR(H1="物理",H1="組合科學 (物理、化學)",H1="組合科學 (物理、生物)"),H5*10,H5*5)</f>
        <v>3E-9</v>
      </c>
      <c r="K160" s="49">
        <f>IF(OR(I1="物理",I1="組合科學 (物理、化學)",I1="組合科學 (物理、生物)"),I5*10,I5*5)</f>
        <v>3.4999999999999999E-9</v>
      </c>
      <c r="L160" s="49">
        <f>IF(OR(J1="物理",J1="組合科學 (物理、化學)",J1="組合科學 (物理、生物)"),J5*10,J5*5)</f>
        <v>4.0000000000000002E-9</v>
      </c>
      <c r="M160" s="49">
        <f>IF(OR(K1="物理",K1="組合科學 (物理、化學)",K1="組合科學 (物理、生物)"),K5*10,K5*5)</f>
        <v>4.4999999999999998E-9</v>
      </c>
      <c r="N160" s="49">
        <f>L5*5</f>
        <v>4.7500000000000003E-9</v>
      </c>
    </row>
    <row r="161" spans="1:22" s="49" customFormat="1">
      <c r="A161" s="49" t="s">
        <v>474</v>
      </c>
      <c r="B161" s="49" t="s">
        <v>574</v>
      </c>
      <c r="C161" s="163" t="s">
        <v>214</v>
      </c>
      <c r="D161" s="49">
        <f t="shared" si="101"/>
        <v>1.9750000000000001E-8</v>
      </c>
      <c r="E161" s="49">
        <f>C5*7</f>
        <v>7.0000000000000006E-10</v>
      </c>
      <c r="F161" s="49">
        <f>D5*10</f>
        <v>2.0000000000000001E-9</v>
      </c>
      <c r="G161" s="49">
        <f>E5*7</f>
        <v>2.0999999999999998E-9</v>
      </c>
      <c r="H161" s="49">
        <f>F5*7</f>
        <v>2.8000000000000003E-9</v>
      </c>
      <c r="I161" s="49">
        <f t="shared" ref="I161:N161" si="105">G5*5</f>
        <v>2.5000000000000001E-9</v>
      </c>
      <c r="J161" s="49">
        <f t="shared" si="105"/>
        <v>3E-9</v>
      </c>
      <c r="K161" s="49">
        <f t="shared" si="105"/>
        <v>3.4999999999999999E-9</v>
      </c>
      <c r="L161" s="49">
        <f t="shared" si="105"/>
        <v>4.0000000000000002E-9</v>
      </c>
      <c r="M161" s="49">
        <f t="shared" si="105"/>
        <v>4.4999999999999998E-9</v>
      </c>
      <c r="N161" s="49">
        <f t="shared" si="105"/>
        <v>4.7500000000000003E-9</v>
      </c>
    </row>
    <row r="162" spans="1:22" s="49" customFormat="1">
      <c r="A162" s="49" t="s">
        <v>475</v>
      </c>
      <c r="B162" s="49" t="s">
        <v>575</v>
      </c>
      <c r="C162" s="163" t="s">
        <v>214</v>
      </c>
      <c r="D162" s="49">
        <f t="shared" si="101"/>
        <v>2.175E-8</v>
      </c>
      <c r="E162" s="49">
        <f>C5*7</f>
        <v>7.0000000000000006E-10</v>
      </c>
      <c r="F162" s="49">
        <f>D5*10</f>
        <v>2.0000000000000001E-9</v>
      </c>
      <c r="G162" s="49">
        <f>E5*10</f>
        <v>3E-9</v>
      </c>
      <c r="H162" s="49">
        <f>F5*7</f>
        <v>2.8000000000000003E-9</v>
      </c>
      <c r="I162" s="49">
        <f>G5*10</f>
        <v>5.0000000000000001E-9</v>
      </c>
      <c r="J162" s="49">
        <f>IF(OR(H1="物理",H1="組合科學 (物理、化學)",H1="組合科學 (物理、生物)"),H5*10,H5*5)</f>
        <v>3E-9</v>
      </c>
      <c r="K162" s="49">
        <f>IF(OR(I1="物理",I1="組合科學 (物理、化學)",I1="組合科學 (物理、生物)"),I5*10,I5*5)</f>
        <v>3.4999999999999999E-9</v>
      </c>
      <c r="L162" s="49">
        <f>IF(OR(J1="物理",J1="組合科學 (物理、化學)",J1="組合科學 (物理、生物)"),J5*10,J5*5)</f>
        <v>4.0000000000000002E-9</v>
      </c>
      <c r="M162" s="49">
        <f>IF(OR(K1="物理",K1="組合科學 (物理、化學)",K1="組合科學 (物理、生物)"),K5*10,K5*5)</f>
        <v>4.4999999999999998E-9</v>
      </c>
      <c r="N162" s="49">
        <f>L5*5</f>
        <v>4.7500000000000003E-9</v>
      </c>
    </row>
    <row r="163" spans="1:22" s="49" customFormat="1">
      <c r="A163" s="49" t="s">
        <v>476</v>
      </c>
      <c r="B163" s="49" t="s">
        <v>576</v>
      </c>
      <c r="C163" s="163" t="s">
        <v>214</v>
      </c>
      <c r="D163" s="49">
        <f t="shared" si="101"/>
        <v>1.9750000000000001E-8</v>
      </c>
      <c r="E163" s="49">
        <f>C5*7</f>
        <v>7.0000000000000006E-10</v>
      </c>
      <c r="F163" s="49">
        <f>D5*10</f>
        <v>2.0000000000000001E-9</v>
      </c>
      <c r="G163" s="49">
        <f>E5*10</f>
        <v>3E-9</v>
      </c>
      <c r="H163" s="49">
        <f>F5*7</f>
        <v>2.8000000000000003E-9</v>
      </c>
      <c r="I163" s="49">
        <f t="shared" ref="I163:N163" si="106">G5*5</f>
        <v>2.5000000000000001E-9</v>
      </c>
      <c r="J163" s="49">
        <f t="shared" si="106"/>
        <v>3E-9</v>
      </c>
      <c r="K163" s="49">
        <f t="shared" si="106"/>
        <v>3.4999999999999999E-9</v>
      </c>
      <c r="L163" s="49">
        <f t="shared" si="106"/>
        <v>4.0000000000000002E-9</v>
      </c>
      <c r="M163" s="49">
        <f t="shared" si="106"/>
        <v>4.4999999999999998E-9</v>
      </c>
      <c r="N163" s="49">
        <f t="shared" si="106"/>
        <v>4.7500000000000003E-9</v>
      </c>
    </row>
    <row r="164" spans="1:22">
      <c r="A164" s="43" t="s">
        <v>477</v>
      </c>
      <c r="B164" s="43" t="s">
        <v>577</v>
      </c>
      <c r="C164" s="162" t="s">
        <v>866</v>
      </c>
      <c r="D164" s="43">
        <f>E164+F164+LARGE((G164:N164),1)+LARGE((G164:N164),2)+LARGE((G164:N164),3)</f>
        <v>1.625E-8</v>
      </c>
      <c r="E164" s="43">
        <f>C5*10</f>
        <v>1.0000000000000001E-9</v>
      </c>
      <c r="F164" s="43">
        <f>D5*10</f>
        <v>2.0000000000000001E-9</v>
      </c>
      <c r="G164" s="43">
        <f>E5*7</f>
        <v>2.0999999999999998E-9</v>
      </c>
      <c r="H164" s="43">
        <f>F5*7</f>
        <v>2.8000000000000003E-9</v>
      </c>
      <c r="I164" s="43">
        <f t="shared" ref="I164:N164" si="107">G5*5</f>
        <v>2.5000000000000001E-9</v>
      </c>
      <c r="J164" s="43">
        <f t="shared" si="107"/>
        <v>3E-9</v>
      </c>
      <c r="K164" s="43">
        <f t="shared" si="107"/>
        <v>3.4999999999999999E-9</v>
      </c>
      <c r="L164" s="43">
        <f t="shared" si="107"/>
        <v>4.0000000000000002E-9</v>
      </c>
      <c r="M164" s="43">
        <f t="shared" si="107"/>
        <v>4.4999999999999998E-9</v>
      </c>
      <c r="N164" s="43">
        <f t="shared" si="107"/>
        <v>4.7500000000000003E-9</v>
      </c>
      <c r="Q164" s="43" t="str">
        <f>G1</f>
        <v>數學延伸</v>
      </c>
      <c r="R164" s="43" t="str">
        <f>H1</f>
        <v>請選擇第一選修科</v>
      </c>
      <c r="S164" s="43" t="str">
        <f>I1</f>
        <v>請選擇第二選修科</v>
      </c>
      <c r="T164" s="43" t="str">
        <f>J1</f>
        <v>請選擇第三選修科</v>
      </c>
      <c r="U164" s="43" t="str">
        <f>K1</f>
        <v>請選擇第四選修科</v>
      </c>
    </row>
    <row r="165" spans="1:22">
      <c r="A165" s="43" t="s">
        <v>478</v>
      </c>
      <c r="B165" s="43" t="s">
        <v>578</v>
      </c>
      <c r="C165" s="162" t="s">
        <v>214</v>
      </c>
      <c r="D165" s="43">
        <f t="shared" si="101"/>
        <v>1.9750000000000001E-8</v>
      </c>
      <c r="E165" s="43">
        <f>C5*7</f>
        <v>7.0000000000000006E-10</v>
      </c>
      <c r="F165" s="43">
        <f>D5*10</f>
        <v>2.0000000000000001E-9</v>
      </c>
      <c r="G165" s="43">
        <f>E5*7</f>
        <v>2.0999999999999998E-9</v>
      </c>
      <c r="H165" s="43">
        <f>F5*7</f>
        <v>2.8000000000000003E-9</v>
      </c>
      <c r="I165" s="43">
        <f t="shared" ref="I165:N165" si="108">G5*5</f>
        <v>2.5000000000000001E-9</v>
      </c>
      <c r="J165" s="43">
        <f t="shared" si="108"/>
        <v>3E-9</v>
      </c>
      <c r="K165" s="43">
        <f t="shared" si="108"/>
        <v>3.4999999999999999E-9</v>
      </c>
      <c r="L165" s="43">
        <f t="shared" si="108"/>
        <v>4.0000000000000002E-9</v>
      </c>
      <c r="M165" s="43">
        <f t="shared" si="108"/>
        <v>4.4999999999999998E-9</v>
      </c>
      <c r="N165" s="43">
        <f t="shared" si="108"/>
        <v>4.7500000000000003E-9</v>
      </c>
      <c r="P165" s="43" t="s">
        <v>882</v>
      </c>
      <c r="Q165" s="43">
        <f>G6</f>
        <v>5.0000000000000003E-10</v>
      </c>
      <c r="R165" s="43">
        <f>IF(OR(H1="物理",H1="化學",H1="生物",H1="組合科學 (物理、化學)",H1="組合科學 (生物、化學)",H1="組合科學 (物理、生物)"),H13,0)</f>
        <v>0</v>
      </c>
      <c r="S165" s="43">
        <f>IF(OR(I1="物理",I1="化學",I1="生物",I1="組合科學 (物理、化學)",I1="組合科學 (生物、化學)",I1="組合科學 (物理、生物)"),I13,0)</f>
        <v>0</v>
      </c>
      <c r="T165" s="43">
        <f>IF(OR(J1="物理",J1="化學",J1="生物",J1="組合科學 (物理、化學)",J1="組合科學 (生物、化學)",J1="組合科學 (物理、生物)"),J13,0)</f>
        <v>0</v>
      </c>
      <c r="U165" s="43">
        <f>IF(OR(K1="物理",K1="化學",K1="生物",K1="組合科學 (物理、化學)",K1="組合科學 (生物、化學)",K1="組合科學 (物理、生物)"),K13,0)</f>
        <v>0</v>
      </c>
    </row>
    <row r="166" spans="1:22">
      <c r="A166" s="43" t="s">
        <v>479</v>
      </c>
      <c r="B166" s="43" t="s">
        <v>579</v>
      </c>
      <c r="C166" s="162" t="s">
        <v>866</v>
      </c>
      <c r="D166" s="43">
        <f>E166+F166+LARGE((G166:N166),1)+LARGE((G166:N166),2)+LARGE((G166:N166),3)</f>
        <v>1.625E-8</v>
      </c>
      <c r="E166" s="43">
        <f>C5*10</f>
        <v>1.0000000000000001E-9</v>
      </c>
      <c r="F166" s="43">
        <f>D5*10</f>
        <v>2.0000000000000001E-9</v>
      </c>
      <c r="G166" s="43">
        <f>E5*7</f>
        <v>2.0999999999999998E-9</v>
      </c>
      <c r="H166" s="43">
        <f>F5*7</f>
        <v>2.8000000000000003E-9</v>
      </c>
      <c r="I166" s="43">
        <f t="shared" ref="I166:N166" si="109">G5*5</f>
        <v>2.5000000000000001E-9</v>
      </c>
      <c r="J166" s="43">
        <f t="shared" si="109"/>
        <v>3E-9</v>
      </c>
      <c r="K166" s="43">
        <f t="shared" si="109"/>
        <v>3.4999999999999999E-9</v>
      </c>
      <c r="L166" s="43">
        <f t="shared" si="109"/>
        <v>4.0000000000000002E-9</v>
      </c>
      <c r="M166" s="43">
        <f t="shared" si="109"/>
        <v>4.4999999999999998E-9</v>
      </c>
      <c r="N166" s="43">
        <f t="shared" si="109"/>
        <v>4.7500000000000003E-9</v>
      </c>
      <c r="P166" s="43" t="s">
        <v>880</v>
      </c>
      <c r="R166" s="43">
        <f>IF(OR(H1="資訊及通訊科技"),H13,0)</f>
        <v>0</v>
      </c>
      <c r="S166" s="43">
        <f>IF(OR(I1="資訊及通訊科技"),I13,0)</f>
        <v>0</v>
      </c>
      <c r="T166" s="43">
        <f>IF(OR(J1="資訊及通訊科技"),J13,0)</f>
        <v>0</v>
      </c>
      <c r="U166" s="43">
        <f>IF(OR(K1="資訊及通訊科技"),K13,0)</f>
        <v>0</v>
      </c>
    </row>
    <row r="167" spans="1:22">
      <c r="A167" s="43" t="s">
        <v>480</v>
      </c>
      <c r="B167" s="43" t="s">
        <v>580</v>
      </c>
      <c r="C167" s="162" t="s">
        <v>214</v>
      </c>
      <c r="D167" s="43">
        <f t="shared" si="101"/>
        <v>2.175E-8</v>
      </c>
      <c r="E167" s="43">
        <f>C5*7</f>
        <v>7.0000000000000006E-10</v>
      </c>
      <c r="F167" s="43">
        <f>D5*10</f>
        <v>2.0000000000000001E-9</v>
      </c>
      <c r="G167" s="43">
        <f>E5*10</f>
        <v>3E-9</v>
      </c>
      <c r="H167" s="43">
        <f>F5*7</f>
        <v>2.8000000000000003E-9</v>
      </c>
      <c r="I167" s="43">
        <f>G5*10</f>
        <v>5.0000000000000001E-9</v>
      </c>
      <c r="J167" s="43">
        <f>IF(OR(H1="物理",H1="化學",H1="生物",H1="組合科學 (物理、化學)",H1="組合科學 (生物、化學)",H1="組合科學 (物理、生物)", H1="經濟",H1="資訊及通訊科技",H1="企業、會計與財務概論"),H5*10,H5*5)</f>
        <v>3E-9</v>
      </c>
      <c r="K167" s="43">
        <f>IF(OR(I1="物理",I1="化學",I1="生物",I1="組合科學 (物理、化學)",I1="組合科學 (生物、化學)",I1="組合科學 (物理、生物)", I1="經濟",I1="資訊及通訊科技",I1="企業、會計與財務概論"),I5*10,I5*5)</f>
        <v>3.4999999999999999E-9</v>
      </c>
      <c r="L167" s="43">
        <f>IF(OR(J1="物理",J1="化學",J1="生物",J1="組合科學 (物理、化學)",J1="組合科學 (生物、化學)",J1="組合科學 (物理、生物)", J1="經濟",J1="資訊及通訊科技",J1="企業、會計與財務概論"),J5*10,J5*5)</f>
        <v>4.0000000000000002E-9</v>
      </c>
      <c r="M167" s="43">
        <f>IF(OR(K1="物理",K1="化學",K1="生物",K1="組合科學 (物理、化學)",K1="組合科學 (生物、化學)",K1="組合科學 (物理、生物)", K1="經濟",K1="資訊及通訊科技",K1="企業、會計與財務概論"),K5*10,K5*5)</f>
        <v>4.4999999999999998E-9</v>
      </c>
      <c r="N167" s="43">
        <f>L5*5</f>
        <v>4.7500000000000003E-9</v>
      </c>
      <c r="P167" s="43" t="s">
        <v>881</v>
      </c>
      <c r="R167" s="43">
        <f>IF(OR(H1="物理",H1="化學",H1="生物",H1="設計與應用科技",H1="組合科學 (物理、化學)",H1="組合科學 (生物、化學)",H1="組合科學 (物理、生物)"),H13,0)</f>
        <v>0</v>
      </c>
      <c r="S167" s="43">
        <f>IF(OR(I1="物理",I1="化學",I1="生物",I1="設計與應用科技",I1="組合科學 (物理、化學)",I1="組合科學 (生物、化學)",I1="組合科學 (物理、生物)"),I13,0)</f>
        <v>0</v>
      </c>
      <c r="T167" s="43">
        <f>IF(OR(J1="物理",J1="化學",J1="生物",J1="設計與應用科技",J1="組合科學 (物理、化學)",J1="組合科學 (生物、化學)",J1="組合科學 (物理、生物)"),J13,0)</f>
        <v>0</v>
      </c>
      <c r="U167" s="43">
        <f>IF(OR(K1="物理",K1="化學",K1="生物",K1="設計與應用科技",K1="組合科學 (物理、化學)",K1="組合科學 (生物、化學)",K1="組合科學 (物理、生物)"),K13,0)</f>
        <v>0</v>
      </c>
    </row>
    <row r="168" spans="1:22">
      <c r="A168" s="43" t="s">
        <v>481</v>
      </c>
      <c r="B168" s="43" t="s">
        <v>581</v>
      </c>
      <c r="C168" s="162" t="s">
        <v>214</v>
      </c>
      <c r="D168" s="43">
        <f t="shared" si="101"/>
        <v>1.9750000000000001E-8</v>
      </c>
      <c r="E168" s="43">
        <f>C5*7</f>
        <v>7.0000000000000006E-10</v>
      </c>
      <c r="F168" s="43">
        <f>D5*10</f>
        <v>2.0000000000000001E-9</v>
      </c>
      <c r="G168" s="43">
        <f>E5*7</f>
        <v>2.0999999999999998E-9</v>
      </c>
      <c r="H168" s="43">
        <f>F5*7</f>
        <v>2.8000000000000003E-9</v>
      </c>
      <c r="I168" s="43">
        <f t="shared" ref="I168:N168" si="110">G5*5</f>
        <v>2.5000000000000001E-9</v>
      </c>
      <c r="J168" s="43">
        <f t="shared" si="110"/>
        <v>3E-9</v>
      </c>
      <c r="K168" s="43">
        <f t="shared" si="110"/>
        <v>3.4999999999999999E-9</v>
      </c>
      <c r="L168" s="43">
        <f t="shared" si="110"/>
        <v>4.0000000000000002E-9</v>
      </c>
      <c r="M168" s="43">
        <f t="shared" si="110"/>
        <v>4.4999999999999998E-9</v>
      </c>
      <c r="N168" s="43">
        <f t="shared" si="110"/>
        <v>4.7500000000000003E-9</v>
      </c>
      <c r="P168" s="43" t="s">
        <v>883</v>
      </c>
      <c r="Q168" s="43">
        <f>G6</f>
        <v>5.0000000000000003E-10</v>
      </c>
      <c r="R168" s="43">
        <f>IF(OR(H1="物理",H1="化學",H1="經濟"),H13,0)</f>
        <v>0</v>
      </c>
      <c r="S168" s="43">
        <f>IF(OR(I1="物理",I1="化學",I1="經濟"),I13,0)</f>
        <v>0</v>
      </c>
      <c r="T168" s="43">
        <f>IF(OR(J1="物理",J1="化學",J1="經濟"),J13,0)</f>
        <v>0</v>
      </c>
      <c r="U168" s="43">
        <f>IF(OR(K1="物理",K1="化學",K1="經濟"),K13,0)</f>
        <v>0</v>
      </c>
    </row>
    <row r="169" spans="1:22">
      <c r="A169" s="43" t="s">
        <v>482</v>
      </c>
      <c r="B169" s="43" t="s">
        <v>582</v>
      </c>
      <c r="C169" s="162" t="s">
        <v>214</v>
      </c>
      <c r="D169" s="43">
        <f t="shared" si="101"/>
        <v>1.9750000000000001E-8</v>
      </c>
      <c r="E169" s="43">
        <f>C5*7</f>
        <v>7.0000000000000006E-10</v>
      </c>
      <c r="F169" s="43">
        <f>D5*10</f>
        <v>2.0000000000000001E-9</v>
      </c>
      <c r="G169" s="43">
        <f>E5*10</f>
        <v>3E-9</v>
      </c>
      <c r="H169" s="43">
        <f>F5*7</f>
        <v>2.8000000000000003E-9</v>
      </c>
      <c r="I169" s="43">
        <f t="shared" ref="I169:N169" si="111">G5*5</f>
        <v>2.5000000000000001E-9</v>
      </c>
      <c r="J169" s="43">
        <f t="shared" si="111"/>
        <v>3E-9</v>
      </c>
      <c r="K169" s="43">
        <f t="shared" si="111"/>
        <v>3.4999999999999999E-9</v>
      </c>
      <c r="L169" s="43">
        <f t="shared" si="111"/>
        <v>4.0000000000000002E-9</v>
      </c>
      <c r="M169" s="43">
        <f t="shared" si="111"/>
        <v>4.4999999999999998E-9</v>
      </c>
      <c r="N169" s="43">
        <f t="shared" si="111"/>
        <v>4.7500000000000003E-9</v>
      </c>
      <c r="P169" s="43" t="s">
        <v>877</v>
      </c>
      <c r="R169" s="43">
        <f>IF(OR(H1="化學",H1="生物"),H13,0)</f>
        <v>0</v>
      </c>
      <c r="S169" s="43">
        <f>IF(OR(I1="化學",I1="生物"),I13,0)</f>
        <v>0</v>
      </c>
      <c r="T169" s="43">
        <f>IF(OR(J1="化學",J1="生物"),J13,0)</f>
        <v>0</v>
      </c>
      <c r="U169" s="43">
        <f>IF(OR(K1="化學",K1="生物"),K13,0)</f>
        <v>0</v>
      </c>
    </row>
    <row r="170" spans="1:22">
      <c r="A170" s="43" t="s">
        <v>483</v>
      </c>
      <c r="B170" s="43" t="s">
        <v>583</v>
      </c>
      <c r="C170" s="162" t="s">
        <v>214</v>
      </c>
      <c r="D170" s="43">
        <f t="shared" si="101"/>
        <v>2.0249999999999999E-8</v>
      </c>
      <c r="E170" s="43">
        <f>C5*7</f>
        <v>7.0000000000000006E-10</v>
      </c>
      <c r="F170" s="43">
        <f>D5*10</f>
        <v>2.0000000000000001E-9</v>
      </c>
      <c r="G170" s="43">
        <f>E5*10</f>
        <v>3E-9</v>
      </c>
      <c r="H170" s="43">
        <f>F5*7</f>
        <v>2.8000000000000003E-9</v>
      </c>
      <c r="I170" s="43">
        <f>G5*7</f>
        <v>3.5000000000000003E-9</v>
      </c>
      <c r="J170" s="43">
        <f>H5*5</f>
        <v>3E-9</v>
      </c>
      <c r="K170" s="43">
        <f>I5*5</f>
        <v>3.4999999999999999E-9</v>
      </c>
      <c r="L170" s="43">
        <f>J5*5</f>
        <v>4.0000000000000002E-9</v>
      </c>
      <c r="M170" s="43">
        <f>K5*5</f>
        <v>4.4999999999999998E-9</v>
      </c>
      <c r="N170" s="43">
        <f>L5*5</f>
        <v>4.7500000000000003E-9</v>
      </c>
      <c r="P170" s="43" t="s">
        <v>885</v>
      </c>
      <c r="R170" s="43">
        <f>IF(OR(H1="物理",H1="化學",H1="生物",H1="經濟",H1="綜合科學",H1="組合科學 (物理、化學)",H1="組合科學 (生物、化學)",H1="組合科學 (物理、生物)"),H13,0)</f>
        <v>0</v>
      </c>
      <c r="S170" s="43">
        <f>IF(OR(I1="物理",I1="化學",I1="生物",I1="經濟",I1="綜合科學",I1="組合科學 (物理、化學)",I1="組合科學 (生物、化學)",I1="組合科學 (物理、生物)"),I13,0)</f>
        <v>0</v>
      </c>
      <c r="T170" s="43">
        <f>IF(OR(J1="物理",J1="化學",J1="生物",J1="經濟",J1="綜合科學",J1="組合科學 (物理、化學)",J1="組合科學 (生物、化學)",J1="組合科學 (物理、生物)"),J13,0)</f>
        <v>0</v>
      </c>
      <c r="U170" s="43">
        <f>IF(OR(K1="物理",K1="化學",K1="生物",K1="經濟",K1="綜合科學",K1="組合科學 (物理、化學)",K1="組合科學 (生物、化學)",K1="組合科學 (物理、生物)"),K13,0)</f>
        <v>0</v>
      </c>
    </row>
    <row r="171" spans="1:22" s="49" customFormat="1">
      <c r="A171" s="49" t="s">
        <v>484</v>
      </c>
      <c r="B171" s="49" t="s">
        <v>584</v>
      </c>
      <c r="C171" s="163" t="s">
        <v>214</v>
      </c>
      <c r="D171" s="49">
        <f t="shared" si="101"/>
        <v>1.9750000000000001E-8</v>
      </c>
      <c r="E171" s="49">
        <f>C5*7</f>
        <v>7.0000000000000006E-10</v>
      </c>
      <c r="F171" s="49">
        <f>D5*10</f>
        <v>2.0000000000000001E-9</v>
      </c>
      <c r="G171" s="49">
        <f>E5*10</f>
        <v>3E-9</v>
      </c>
      <c r="H171" s="49">
        <f>F5*7</f>
        <v>2.8000000000000003E-9</v>
      </c>
      <c r="I171" s="49">
        <f>G5*5</f>
        <v>2.5000000000000001E-9</v>
      </c>
      <c r="J171" s="49">
        <f>IF(OR(H1="生物",H1="組合科學 (生物、化學)",H1="組合科學 (物理、生物)"),H5*10,H5*5)</f>
        <v>3E-9</v>
      </c>
      <c r="K171" s="49">
        <f>IF(OR(I1="生物",I1="組合科學 (生物、化學)",I1="組合科學 (物理、生物)"),I5*10,I5*5)</f>
        <v>3.4999999999999999E-9</v>
      </c>
      <c r="L171" s="49">
        <f>IF(OR(J1="生物",J1="組合科學 (生物、化學)",J1="組合科學 (物理、生物)"),J5*10,J5*5)</f>
        <v>4.0000000000000002E-9</v>
      </c>
      <c r="M171" s="49">
        <f>IF(OR(K1="生物",K1="組合科學 (生物、化學)",K1="組合科學 (物理、生物)"),K5*10,K5*5)</f>
        <v>4.4999999999999998E-9</v>
      </c>
      <c r="N171" s="49">
        <f>L5*5</f>
        <v>4.7500000000000003E-9</v>
      </c>
      <c r="P171" s="43" t="s">
        <v>966</v>
      </c>
      <c r="Q171" s="43">
        <f>G6</f>
        <v>5.0000000000000003E-10</v>
      </c>
      <c r="R171" s="43">
        <f>IF(OR(H1="物理",H1="化學",H1="生物",H1="組合科學 (物理、化學)",H1="組合科學 (生物、化學)",H1="組合科學 (物理、生物)",H1="綜合科學"),H13,0)</f>
        <v>0</v>
      </c>
      <c r="S171" s="43">
        <f>IF(OR(I1="物理",I1="化學",I1="生物",I1="組合科學 (物理、化學)",I1="組合科學 (生物、化學)",I1="組合科學 (物理、生物)",I1="綜合科學"),I13,0)</f>
        <v>0</v>
      </c>
      <c r="T171" s="43">
        <f>IF(OR(J1="物理",J1="化學",J1="生物",J1="組合科學 (物理、化學)",J1="組合科學 (生物、化學)",J1="組合科學 (物理、生物)",J1="綜合科學"),J13,0)</f>
        <v>0</v>
      </c>
      <c r="U171" s="43">
        <f>IF(OR(K1="物理",K1="化學",K1="生物",K1="組合科學 (物理、化學)",K1="組合科學 (生物、化學)",K1="組合科學 (物理、生物)",K1="綜合科學"),K13,0)</f>
        <v>0</v>
      </c>
      <c r="V171" s="43"/>
    </row>
    <row r="172" spans="1:22">
      <c r="A172" s="43" t="s">
        <v>485</v>
      </c>
      <c r="B172" s="43" t="s">
        <v>585</v>
      </c>
      <c r="C172" s="162" t="s">
        <v>214</v>
      </c>
      <c r="D172" s="43">
        <f t="shared" si="101"/>
        <v>2.175E-8</v>
      </c>
      <c r="E172" s="43">
        <f>C5*7</f>
        <v>7.0000000000000006E-10</v>
      </c>
      <c r="F172" s="43">
        <f>D5*10</f>
        <v>2.0000000000000001E-9</v>
      </c>
      <c r="G172" s="43">
        <f>E5*10</f>
        <v>3E-9</v>
      </c>
      <c r="H172" s="43">
        <f>F5*7</f>
        <v>2.8000000000000003E-9</v>
      </c>
      <c r="I172" s="43">
        <f>G5*10</f>
        <v>5.0000000000000001E-9</v>
      </c>
      <c r="J172" s="43">
        <f>IF(OR(H1="物理",H1="組合科學 (物理、化學)",H1="組合科學 (物理、生物)"),H5*10,H5*5)</f>
        <v>3E-9</v>
      </c>
      <c r="K172" s="43">
        <f>IF(OR(I1="物理",I1="組合科學 (物理、化學)",I1="組合科學 (物理、生物)"),I5*10,I5*5)</f>
        <v>3.4999999999999999E-9</v>
      </c>
      <c r="L172" s="43">
        <f>IF(OR(J1="物理",J1="組合科學 (物理、化學)",J1="組合科學 (物理、生物)"),J5*10,J5*5)</f>
        <v>4.0000000000000002E-9</v>
      </c>
      <c r="M172" s="43">
        <f>IF(OR(K1="物理",K1="組合科學 (物理、化學)",K1="組合科學 (物理、生物)"),K5*10,K5*5)</f>
        <v>4.4999999999999998E-9</v>
      </c>
      <c r="N172" s="43">
        <f>L5*5</f>
        <v>4.7500000000000003E-9</v>
      </c>
      <c r="P172" s="43" t="s">
        <v>1001</v>
      </c>
      <c r="R172" s="43">
        <f>IF(OR(H1="物理",H1="化學",H1="組合科學 (物理、化學)"),H13,0)</f>
        <v>0</v>
      </c>
      <c r="S172" s="43">
        <f>IF(OR(I1="物理",I1="化學",I1="組合科學 (物理、化學)"),I13,0)</f>
        <v>0</v>
      </c>
      <c r="T172" s="43">
        <f>IF(OR(J1="物理",J1="化學",J1="組合科學 (物理、化學)"),J13,0)</f>
        <v>0</v>
      </c>
      <c r="U172" s="43">
        <f>IF(OR(K1="物理",K1="化學",K1="組合科學 (物理、化學)"),K13,0)</f>
        <v>0</v>
      </c>
    </row>
    <row r="173" spans="1:22">
      <c r="A173" s="43" t="s">
        <v>486</v>
      </c>
      <c r="B173" s="43" t="s">
        <v>586</v>
      </c>
      <c r="C173" s="162" t="s">
        <v>214</v>
      </c>
      <c r="D173" s="43">
        <f>LARGE((E173:N173),1)+LARGE((E173:N173),2)+LARGE((E173:N173),3)+LARGE((E173:N173),4)+LARGE((E173:N173),5)</f>
        <v>1.9750000000000001E-8</v>
      </c>
      <c r="E173" s="43">
        <f>C5*7</f>
        <v>7.0000000000000006E-10</v>
      </c>
      <c r="F173" s="43">
        <f>D5*10</f>
        <v>2.0000000000000001E-9</v>
      </c>
      <c r="G173" s="43">
        <f>E5*10</f>
        <v>3E-9</v>
      </c>
      <c r="H173" s="43">
        <f>F5*7</f>
        <v>2.8000000000000003E-9</v>
      </c>
      <c r="I173" s="43">
        <f>G5*5</f>
        <v>2.5000000000000001E-9</v>
      </c>
      <c r="J173" s="43">
        <f>IF(OR(H1="化學",H1="組合科學 (物理、化學)",H1="組合科學 (生物、化學)"),H5*10,H5*5)</f>
        <v>3E-9</v>
      </c>
      <c r="K173" s="43">
        <f>IF(OR(I1="化學",I1="組合科學 (物理、化學)",I1="組合科學 (生物、化學)"),I5*10,I5*5)</f>
        <v>3.4999999999999999E-9</v>
      </c>
      <c r="L173" s="43">
        <f>IF(OR(J1="化學",J1="組合科學 (物理、化學)",J1="組合科學 (生物、化學)"),J5*10,J5*5)</f>
        <v>4.0000000000000002E-9</v>
      </c>
      <c r="M173" s="43">
        <f>IF(OR(K1="化學",K1="組合科學 (物理、化學)",K1="組合科學 (生物、化學)"),K5*10,K5*5)</f>
        <v>4.4999999999999998E-9</v>
      </c>
      <c r="N173" s="43">
        <f>L5*5</f>
        <v>4.7500000000000003E-9</v>
      </c>
      <c r="O173" s="43" t="s">
        <v>1022</v>
      </c>
      <c r="P173" s="43" t="s">
        <v>1023</v>
      </c>
      <c r="Q173" s="43">
        <f>G7</f>
        <v>5.0000000000000003E-10</v>
      </c>
      <c r="R173" s="43">
        <f>IF(OR(H1="物理",H1="化學",H1="生物",H1="組合科學 (物理、化學)",H1="組合科學 (生物、化學)",H1="組合科學 (物理、生物)",H1="資訊及通訊科技"),H7,0)</f>
        <v>0</v>
      </c>
      <c r="S173" s="43">
        <f>IF(OR(I1="物理",I1="化學",I1="生物",I1="組合科學 (物理、化學)",I1="組合科學 (生物、化學)",I1="組合科學 (物理、生物)",I1="資訊及通訊科技"),I7,0)</f>
        <v>0</v>
      </c>
      <c r="T173" s="43">
        <f>IF(OR(J1="物理",J1="化學",J1="生物",J1="組合科學 (物理、化學)",J1="組合科學 (生物、化學)",J1="組合科學 (物理、生物)",J1="資訊及通訊科技"),J7,0)</f>
        <v>0</v>
      </c>
      <c r="U173" s="43">
        <f>IF(OR(K1="物理",K1="化學",K1="生物",K1="組合科學 (物理、化學)",K1="組合科學 (生物、化學)",K1="組合科學 (物理、生物)",K1="資訊及通訊科技"),K7,0)</f>
        <v>0</v>
      </c>
    </row>
    <row r="174" spans="1:22">
      <c r="A174" s="43" t="s">
        <v>487</v>
      </c>
      <c r="B174" s="43" t="s">
        <v>596</v>
      </c>
      <c r="C174" s="162" t="s">
        <v>866</v>
      </c>
      <c r="D174" s="43">
        <f>E174+F174+LARGE((G174:N174),1)+LARGE((G174:N174),2)+LARGE((G174:N174),3)</f>
        <v>2.9500000000000004E-9</v>
      </c>
      <c r="E174" s="43">
        <f>C5</f>
        <v>1E-10</v>
      </c>
      <c r="F174" s="43">
        <f t="shared" ref="F174:N174" si="112">D5</f>
        <v>2.0000000000000001E-10</v>
      </c>
      <c r="G174" s="43">
        <f t="shared" si="112"/>
        <v>3E-10</v>
      </c>
      <c r="H174" s="43">
        <f t="shared" si="112"/>
        <v>4.0000000000000001E-10</v>
      </c>
      <c r="I174" s="43">
        <f t="shared" si="112"/>
        <v>5.0000000000000003E-10</v>
      </c>
      <c r="J174" s="43">
        <f t="shared" si="112"/>
        <v>6E-10</v>
      </c>
      <c r="K174" s="43">
        <f t="shared" si="112"/>
        <v>6.9999999999999996E-10</v>
      </c>
      <c r="L174" s="43">
        <f t="shared" si="112"/>
        <v>8.0000000000000003E-10</v>
      </c>
      <c r="M174" s="43">
        <f t="shared" si="112"/>
        <v>8.9999999999999999E-10</v>
      </c>
      <c r="N174" s="43">
        <f t="shared" si="112"/>
        <v>9.5000000000000003E-10</v>
      </c>
      <c r="P174" s="43" t="s">
        <v>1024</v>
      </c>
      <c r="Q174" s="43">
        <f>G7</f>
        <v>5.0000000000000003E-10</v>
      </c>
      <c r="R174" s="43">
        <f>IF(OR(H1="物理",H1="化學",H1="生物",H1="組合科學 (物理、化學)",H1="組合科學 (生物、化學)",H1="組合科學 (物理、生物)",H1="資訊及通訊科技",H1="綜合科學"),H7,0)</f>
        <v>0</v>
      </c>
      <c r="S174" s="43">
        <f>IF(OR(I1="物理",I1="化學",I1="生物",I1="組合科學 (物理、化學)",I1="組合科學 (生物、化學)",I1="組合科學 (物理、生物)",I1="資訊及通訊科技",I1="綜合科學"),I7,0)</f>
        <v>0</v>
      </c>
      <c r="T174" s="43">
        <f>IF(OR(J1="物理",J1="化學",J1="生物",J1="組合科學 (物理、化學)",J1="組合科學 (生物、化學)",J1="組合科學 (物理、生物)",J1="資訊及通訊科技",J1="綜合科學"),J7,0)</f>
        <v>0</v>
      </c>
      <c r="U174" s="43">
        <f>IF(OR(K1="物理",K1="化學",K1="生物",K1="組合科學 (物理、化學)",K1="組合科學 (生物、化學)",K1="組合科學 (物理、生物)",K1="資訊及通訊科技",K1="綜合科學"),K7,0)</f>
        <v>0</v>
      </c>
    </row>
    <row r="175" spans="1:22">
      <c r="A175" s="43" t="s">
        <v>488</v>
      </c>
      <c r="B175" s="43" t="s">
        <v>597</v>
      </c>
      <c r="C175" s="162" t="s">
        <v>866</v>
      </c>
      <c r="D175" s="43">
        <f t="shared" ref="D175:D183" si="113">E175+F175+LARGE((G175:N175),1)+LARGE((G175:N175),2)+LARGE((G175:N175),3)</f>
        <v>2.9500000000000004E-9</v>
      </c>
      <c r="E175" s="43">
        <f>C5</f>
        <v>1E-10</v>
      </c>
      <c r="F175" s="43">
        <f t="shared" ref="F175:N175" si="114">D5</f>
        <v>2.0000000000000001E-10</v>
      </c>
      <c r="G175" s="43">
        <f t="shared" si="114"/>
        <v>3E-10</v>
      </c>
      <c r="H175" s="43">
        <f t="shared" si="114"/>
        <v>4.0000000000000001E-10</v>
      </c>
      <c r="I175" s="43">
        <f t="shared" si="114"/>
        <v>5.0000000000000003E-10</v>
      </c>
      <c r="J175" s="43">
        <f t="shared" si="114"/>
        <v>6E-10</v>
      </c>
      <c r="K175" s="43">
        <f t="shared" si="114"/>
        <v>6.9999999999999996E-10</v>
      </c>
      <c r="L175" s="43">
        <f t="shared" si="114"/>
        <v>8.0000000000000003E-10</v>
      </c>
      <c r="M175" s="43">
        <f t="shared" si="114"/>
        <v>8.9999999999999999E-10</v>
      </c>
      <c r="N175" s="43">
        <f t="shared" si="114"/>
        <v>9.5000000000000003E-10</v>
      </c>
      <c r="P175" s="43" t="s">
        <v>1025</v>
      </c>
      <c r="R175" s="43">
        <f>IF(OR(H1="物理",H1="化學",H1="設計與應用科技",H1="組合科學 (物理、化學)",H1="組合科學 (生物、化學)",H1="組合科學 (物理、生物)"),H7,0)</f>
        <v>0</v>
      </c>
      <c r="S175" s="43">
        <f>IF(OR(I1="物理",I1="化學",I1="設計與應用科技",I1="組合科學 (物理、化學)",I1="組合科學 (生物、化學)",I1="組合科學 (物理、生物)"),I7,0)</f>
        <v>0</v>
      </c>
      <c r="T175" s="43">
        <f>IF(OR(J1="物理",J1="化學",J1="設計與應用科技",J1="組合科學 (物理、化學)",J1="組合科學 (生物、化學)",J1="組合科學 (物理、生物)"),J7,0)</f>
        <v>0</v>
      </c>
      <c r="U175" s="43">
        <f>IF(OR(K1="物理",K1="化學",K1="設計與應用科技",K1="組合科學 (物理、化學)",K1="組合科學 (生物、化學)",K1="組合科學 (物理、生物)"),K7,0)</f>
        <v>0</v>
      </c>
    </row>
    <row r="176" spans="1:22">
      <c r="A176" s="43" t="s">
        <v>489</v>
      </c>
      <c r="B176" s="43" t="s">
        <v>598</v>
      </c>
      <c r="C176" s="162" t="s">
        <v>865</v>
      </c>
      <c r="D176" s="43">
        <f t="shared" si="113"/>
        <v>2.9500000000000004E-9</v>
      </c>
      <c r="E176" s="43">
        <f>C5</f>
        <v>1E-10</v>
      </c>
      <c r="F176" s="43">
        <f t="shared" ref="F176:N176" si="115">D5</f>
        <v>2.0000000000000001E-10</v>
      </c>
      <c r="G176" s="43">
        <f t="shared" si="115"/>
        <v>3E-10</v>
      </c>
      <c r="H176" s="43">
        <f t="shared" si="115"/>
        <v>4.0000000000000001E-10</v>
      </c>
      <c r="I176" s="43">
        <f t="shared" si="115"/>
        <v>5.0000000000000003E-10</v>
      </c>
      <c r="J176" s="43">
        <f t="shared" si="115"/>
        <v>6E-10</v>
      </c>
      <c r="K176" s="43">
        <f t="shared" si="115"/>
        <v>6.9999999999999996E-10</v>
      </c>
      <c r="L176" s="43">
        <f t="shared" si="115"/>
        <v>8.0000000000000003E-10</v>
      </c>
      <c r="M176" s="43">
        <f t="shared" si="115"/>
        <v>8.9999999999999999E-10</v>
      </c>
      <c r="N176" s="43">
        <f t="shared" si="115"/>
        <v>9.5000000000000003E-10</v>
      </c>
      <c r="P176" s="43" t="s">
        <v>1026</v>
      </c>
      <c r="R176" s="43">
        <f>IF(OR(H1="物理",H1="化學",H1="設計與應用科技",H1="組合科學 (物理、化學)",H1="組合科學 (物理、生物)"),H7,0)</f>
        <v>0</v>
      </c>
      <c r="S176" s="43">
        <f t="shared" ref="S176:U176" si="116">IF(OR(I1="物理",I1="化學",I1="設計與應用科技",I1="組合科學 (物理、化學)",I1="組合科學 (物理、生物)"),I7,0)</f>
        <v>0</v>
      </c>
      <c r="T176" s="43">
        <f t="shared" si="116"/>
        <v>0</v>
      </c>
      <c r="U176" s="43">
        <f t="shared" si="116"/>
        <v>0</v>
      </c>
    </row>
    <row r="177" spans="1:23">
      <c r="A177" s="43" t="s">
        <v>490</v>
      </c>
      <c r="B177" s="43" t="s">
        <v>599</v>
      </c>
      <c r="C177" s="162" t="s">
        <v>865</v>
      </c>
      <c r="D177" s="43">
        <f t="shared" si="113"/>
        <v>2.9500000000000004E-9</v>
      </c>
      <c r="E177" s="43">
        <f>C5</f>
        <v>1E-10</v>
      </c>
      <c r="F177" s="43">
        <f t="shared" ref="F177:N177" si="117">D5</f>
        <v>2.0000000000000001E-10</v>
      </c>
      <c r="G177" s="43">
        <f t="shared" si="117"/>
        <v>3E-10</v>
      </c>
      <c r="H177" s="43">
        <f t="shared" si="117"/>
        <v>4.0000000000000001E-10</v>
      </c>
      <c r="I177" s="43">
        <f t="shared" si="117"/>
        <v>5.0000000000000003E-10</v>
      </c>
      <c r="J177" s="43">
        <f t="shared" si="117"/>
        <v>6E-10</v>
      </c>
      <c r="K177" s="43">
        <f t="shared" si="117"/>
        <v>6.9999999999999996E-10</v>
      </c>
      <c r="L177" s="43">
        <f t="shared" si="117"/>
        <v>8.0000000000000003E-10</v>
      </c>
      <c r="M177" s="43">
        <f t="shared" si="117"/>
        <v>8.9999999999999999E-10</v>
      </c>
      <c r="N177" s="43">
        <f t="shared" si="117"/>
        <v>9.5000000000000003E-10</v>
      </c>
      <c r="P177" s="43" t="s">
        <v>1143</v>
      </c>
      <c r="R177" s="43">
        <f>IF(OR(H1="物理",H1="綜合科學",H1="組合科學 (物理、化學)",H1="組合科學 (物理、生物)"),H7,0)</f>
        <v>0</v>
      </c>
      <c r="S177" s="43">
        <f t="shared" ref="S177:U177" si="118">IF(OR(I1="物理",I1="綜合科學",I1="組合科學 (物理、化學)",I1="組合科學 (物理、生物)"),I7,0)</f>
        <v>0</v>
      </c>
      <c r="T177" s="43">
        <f t="shared" si="118"/>
        <v>0</v>
      </c>
      <c r="U177" s="43">
        <f t="shared" si="118"/>
        <v>0</v>
      </c>
    </row>
    <row r="178" spans="1:23">
      <c r="A178" s="43" t="s">
        <v>491</v>
      </c>
      <c r="B178" s="43" t="s">
        <v>600</v>
      </c>
      <c r="C178" s="162" t="s">
        <v>865</v>
      </c>
      <c r="D178" s="43">
        <f t="shared" si="113"/>
        <v>2.9500000000000004E-9</v>
      </c>
      <c r="E178" s="43">
        <f>C5</f>
        <v>1E-10</v>
      </c>
      <c r="F178" s="43">
        <f t="shared" ref="F178:N178" si="119">D5</f>
        <v>2.0000000000000001E-10</v>
      </c>
      <c r="G178" s="43">
        <f t="shared" si="119"/>
        <v>3E-10</v>
      </c>
      <c r="H178" s="43">
        <f t="shared" si="119"/>
        <v>4.0000000000000001E-10</v>
      </c>
      <c r="I178" s="43">
        <f t="shared" si="119"/>
        <v>5.0000000000000003E-10</v>
      </c>
      <c r="J178" s="43">
        <f t="shared" si="119"/>
        <v>6E-10</v>
      </c>
      <c r="K178" s="43">
        <f t="shared" si="119"/>
        <v>6.9999999999999996E-10</v>
      </c>
      <c r="L178" s="43">
        <f t="shared" si="119"/>
        <v>8.0000000000000003E-10</v>
      </c>
      <c r="M178" s="43">
        <f t="shared" si="119"/>
        <v>8.9999999999999999E-10</v>
      </c>
      <c r="N178" s="43">
        <f t="shared" si="119"/>
        <v>9.5000000000000003E-10</v>
      </c>
      <c r="P178" s="43" t="s">
        <v>1142</v>
      </c>
      <c r="R178" s="43">
        <f>IF(OR(H1="化學",H1="組合科學 (物理、化學)",H1="組合科學 (生物、化學)"),H7,0)</f>
        <v>0</v>
      </c>
      <c r="S178" s="43">
        <f t="shared" ref="S178:U178" si="120">IF(OR(I1="化學",I1="組合科學 (物理、化學)",I1="組合科學 (生物、化學)"),I7,0)</f>
        <v>0</v>
      </c>
      <c r="T178" s="43">
        <f t="shared" si="120"/>
        <v>0</v>
      </c>
      <c r="U178" s="43">
        <f t="shared" si="120"/>
        <v>0</v>
      </c>
    </row>
    <row r="179" spans="1:23">
      <c r="A179" s="43" t="s">
        <v>492</v>
      </c>
      <c r="B179" s="43" t="s">
        <v>601</v>
      </c>
      <c r="C179" s="162" t="s">
        <v>865</v>
      </c>
      <c r="D179" s="43">
        <f t="shared" si="113"/>
        <v>2.9500000000000004E-9</v>
      </c>
      <c r="E179" s="43">
        <f>C5</f>
        <v>1E-10</v>
      </c>
      <c r="F179" s="43">
        <f t="shared" ref="F179:N179" si="121">D5</f>
        <v>2.0000000000000001E-10</v>
      </c>
      <c r="G179" s="43">
        <f t="shared" si="121"/>
        <v>3E-10</v>
      </c>
      <c r="H179" s="43">
        <f t="shared" si="121"/>
        <v>4.0000000000000001E-10</v>
      </c>
      <c r="I179" s="43">
        <f t="shared" si="121"/>
        <v>5.0000000000000003E-10</v>
      </c>
      <c r="J179" s="43">
        <f t="shared" si="121"/>
        <v>6E-10</v>
      </c>
      <c r="K179" s="43">
        <f t="shared" si="121"/>
        <v>6.9999999999999996E-10</v>
      </c>
      <c r="L179" s="43">
        <f t="shared" si="121"/>
        <v>8.0000000000000003E-10</v>
      </c>
      <c r="M179" s="43">
        <f t="shared" si="121"/>
        <v>8.9999999999999999E-10</v>
      </c>
      <c r="N179" s="43">
        <f t="shared" si="121"/>
        <v>9.5000000000000003E-10</v>
      </c>
      <c r="P179" s="43" t="s">
        <v>1030</v>
      </c>
      <c r="Q179" s="43">
        <f>G7</f>
        <v>5.0000000000000003E-10</v>
      </c>
      <c r="R179" s="43">
        <f>IF(OR(H1="物理",H1="化學",H1="生物",H1="資訊及通訊科技",H1="科技與生活",H1="綜合科學",H1="組合科學 (物理、化學)",H1="組合科學 (生物、化學)",H1="組合科學 (物理、生物)",H1="企業、會計與財務概論"),H7,0)</f>
        <v>0</v>
      </c>
      <c r="S179" s="43">
        <f t="shared" ref="S179:U179" si="122">IF(OR(I1="物理",I1="化學",I1="生物",I1="資訊及通訊科技",I1="科技與生活",I1="綜合科學",I1="組合科學 (物理、化學)",I1="組合科學 (生物、化學)",I1="組合科學 (物理、生物)",I1="企業、會計與財務概論"),I7,0)</f>
        <v>0</v>
      </c>
      <c r="T179" s="43">
        <f t="shared" si="122"/>
        <v>0</v>
      </c>
      <c r="U179" s="43">
        <f t="shared" si="122"/>
        <v>0</v>
      </c>
    </row>
    <row r="180" spans="1:23">
      <c r="A180" s="43" t="s">
        <v>493</v>
      </c>
      <c r="B180" s="43" t="s">
        <v>602</v>
      </c>
      <c r="C180" s="162" t="s">
        <v>865</v>
      </c>
      <c r="D180" s="43">
        <f t="shared" si="113"/>
        <v>2.9500000000000004E-9</v>
      </c>
      <c r="E180" s="43">
        <f>C5</f>
        <v>1E-10</v>
      </c>
      <c r="F180" s="43">
        <f t="shared" ref="F180:N180" si="123">D5</f>
        <v>2.0000000000000001E-10</v>
      </c>
      <c r="G180" s="43">
        <f t="shared" si="123"/>
        <v>3E-10</v>
      </c>
      <c r="H180" s="43">
        <f t="shared" si="123"/>
        <v>4.0000000000000001E-10</v>
      </c>
      <c r="I180" s="43">
        <f t="shared" si="123"/>
        <v>5.0000000000000003E-10</v>
      </c>
      <c r="J180" s="43">
        <f t="shared" si="123"/>
        <v>6E-10</v>
      </c>
      <c r="K180" s="43">
        <f t="shared" si="123"/>
        <v>6.9999999999999996E-10</v>
      </c>
      <c r="L180" s="43">
        <f t="shared" si="123"/>
        <v>8.0000000000000003E-10</v>
      </c>
      <c r="M180" s="43">
        <f t="shared" si="123"/>
        <v>8.9999999999999999E-10</v>
      </c>
      <c r="N180" s="43">
        <f t="shared" si="123"/>
        <v>9.5000000000000003E-10</v>
      </c>
      <c r="P180" s="43" t="s">
        <v>1031</v>
      </c>
      <c r="Q180" s="43">
        <f>G7</f>
        <v>5.0000000000000003E-10</v>
      </c>
      <c r="R180" s="43">
        <f>IF(OR(H1="物理",H1="化學",H1="生物",H1="科技與生活",H1="綜合科學",H1="組合科學 (物理、化學)",H1="組合科學 (生物、化學)",H1="組合科學 (物理、生物)",H1="企業、會計與財務概論"),H7,0)</f>
        <v>0</v>
      </c>
      <c r="S180" s="43">
        <f t="shared" ref="S180:U180" si="124">IF(OR(I1="物理",I1="化學",I1="生物",I1="科技與生活",I1="綜合科學",I1="組合科學 (物理、化學)",I1="組合科學 (生物、化學)",I1="組合科學 (物理、生物)",I1="企業、會計與財務概論"),I7,0)</f>
        <v>0</v>
      </c>
      <c r="T180" s="43">
        <f t="shared" si="124"/>
        <v>0</v>
      </c>
      <c r="U180" s="43">
        <f t="shared" si="124"/>
        <v>0</v>
      </c>
    </row>
    <row r="181" spans="1:23">
      <c r="A181" s="43" t="s">
        <v>494</v>
      </c>
      <c r="B181" s="43" t="s">
        <v>603</v>
      </c>
      <c r="C181" s="162" t="s">
        <v>865</v>
      </c>
      <c r="D181" s="43">
        <f t="shared" si="113"/>
        <v>2.9500000000000004E-9</v>
      </c>
      <c r="E181" s="43">
        <f>C5</f>
        <v>1E-10</v>
      </c>
      <c r="F181" s="43">
        <f t="shared" ref="F181:N181" si="125">D5</f>
        <v>2.0000000000000001E-10</v>
      </c>
      <c r="G181" s="43">
        <f t="shared" si="125"/>
        <v>3E-10</v>
      </c>
      <c r="H181" s="43">
        <f t="shared" si="125"/>
        <v>4.0000000000000001E-10</v>
      </c>
      <c r="I181" s="43">
        <f t="shared" si="125"/>
        <v>5.0000000000000003E-10</v>
      </c>
      <c r="J181" s="43">
        <f t="shared" si="125"/>
        <v>6E-10</v>
      </c>
      <c r="K181" s="43">
        <f t="shared" si="125"/>
        <v>6.9999999999999996E-10</v>
      </c>
      <c r="L181" s="43">
        <f t="shared" si="125"/>
        <v>8.0000000000000003E-10</v>
      </c>
      <c r="M181" s="43">
        <f t="shared" si="125"/>
        <v>8.9999999999999999E-10</v>
      </c>
      <c r="N181" s="43">
        <f t="shared" si="125"/>
        <v>9.5000000000000003E-10</v>
      </c>
      <c r="P181" s="43" t="s">
        <v>1141</v>
      </c>
      <c r="R181" s="43">
        <f>IF(OR(H1="化學",H1="生物",H1="組合科學 (物理、化學)",H1="組合科學 (生物、化學)",H1="組合科學 (物理、生物)"),H13,0)</f>
        <v>0</v>
      </c>
      <c r="S181" s="43">
        <f t="shared" ref="S181:U181" si="126">IF(OR(I1="化學",I1="生物",I1="組合科學 (物理、化學)",I1="組合科學 (生物、化學)",I1="組合科學 (物理、生物)"),I13,0)</f>
        <v>0</v>
      </c>
      <c r="T181" s="43">
        <f t="shared" si="126"/>
        <v>0</v>
      </c>
      <c r="U181" s="43">
        <f t="shared" si="126"/>
        <v>0</v>
      </c>
    </row>
    <row r="182" spans="1:23">
      <c r="A182" s="43" t="s">
        <v>495</v>
      </c>
      <c r="B182" s="43" t="s">
        <v>604</v>
      </c>
      <c r="C182" s="162" t="s">
        <v>865</v>
      </c>
      <c r="D182" s="43">
        <f t="shared" si="113"/>
        <v>2.9500000000000004E-9</v>
      </c>
      <c r="E182" s="43">
        <f>C5</f>
        <v>1E-10</v>
      </c>
      <c r="F182" s="43">
        <f t="shared" ref="F182:N182" si="127">D5</f>
        <v>2.0000000000000001E-10</v>
      </c>
      <c r="G182" s="43">
        <f t="shared" si="127"/>
        <v>3E-10</v>
      </c>
      <c r="H182" s="43">
        <f t="shared" si="127"/>
        <v>4.0000000000000001E-10</v>
      </c>
      <c r="I182" s="43">
        <f t="shared" si="127"/>
        <v>5.0000000000000003E-10</v>
      </c>
      <c r="J182" s="43">
        <f t="shared" si="127"/>
        <v>6E-10</v>
      </c>
      <c r="K182" s="43">
        <f t="shared" si="127"/>
        <v>6.9999999999999996E-10</v>
      </c>
      <c r="L182" s="43">
        <f t="shared" si="127"/>
        <v>8.0000000000000003E-10</v>
      </c>
      <c r="M182" s="43">
        <f t="shared" si="127"/>
        <v>8.9999999999999999E-10</v>
      </c>
      <c r="N182" s="43">
        <f t="shared" si="127"/>
        <v>9.5000000000000003E-10</v>
      </c>
      <c r="P182" s="43" t="s">
        <v>1028</v>
      </c>
      <c r="R182" s="43">
        <f>IF(H1="化學",H13,0)</f>
        <v>0</v>
      </c>
      <c r="S182" s="43">
        <f t="shared" ref="S182:U182" si="128">IF(I1="化學",I13,0)</f>
        <v>0</v>
      </c>
      <c r="T182" s="43">
        <f t="shared" si="128"/>
        <v>0</v>
      </c>
      <c r="U182" s="43">
        <f t="shared" si="128"/>
        <v>0</v>
      </c>
    </row>
    <row r="183" spans="1:23">
      <c r="A183" s="43" t="s">
        <v>496</v>
      </c>
      <c r="B183" s="43" t="s">
        <v>605</v>
      </c>
      <c r="C183" s="162" t="s">
        <v>865</v>
      </c>
      <c r="D183" s="43">
        <f t="shared" si="113"/>
        <v>2.9500000000000004E-9</v>
      </c>
      <c r="E183" s="43">
        <f>C5</f>
        <v>1E-10</v>
      </c>
      <c r="F183" s="43">
        <f t="shared" ref="F183:N183" si="129">D5</f>
        <v>2.0000000000000001E-10</v>
      </c>
      <c r="G183" s="43">
        <f t="shared" si="129"/>
        <v>3E-10</v>
      </c>
      <c r="H183" s="43">
        <f t="shared" si="129"/>
        <v>4.0000000000000001E-10</v>
      </c>
      <c r="I183" s="43">
        <f t="shared" si="129"/>
        <v>5.0000000000000003E-10</v>
      </c>
      <c r="J183" s="43">
        <f t="shared" si="129"/>
        <v>6E-10</v>
      </c>
      <c r="K183" s="43">
        <f t="shared" si="129"/>
        <v>6.9999999999999996E-10</v>
      </c>
      <c r="L183" s="43">
        <f t="shared" si="129"/>
        <v>8.0000000000000003E-10</v>
      </c>
      <c r="M183" s="43">
        <f t="shared" si="129"/>
        <v>8.9999999999999999E-10</v>
      </c>
      <c r="N183" s="43">
        <f t="shared" si="129"/>
        <v>9.5000000000000003E-10</v>
      </c>
      <c r="P183" s="43" t="s">
        <v>1390</v>
      </c>
      <c r="R183" s="43">
        <f>IF(OR(H1="物理",H1="生物",H1="組合科學 (物理、生物)"),H13,0)</f>
        <v>0</v>
      </c>
      <c r="S183" s="43">
        <f t="shared" ref="S183:U183" si="130">IF(OR(I1="物理",I1="生物",I1="組合科學 (物理、生物)"),I13,0)</f>
        <v>0</v>
      </c>
      <c r="T183" s="43">
        <f t="shared" si="130"/>
        <v>0</v>
      </c>
      <c r="U183" s="43">
        <f t="shared" si="130"/>
        <v>0</v>
      </c>
    </row>
    <row r="184" spans="1:23">
      <c r="L184" s="43"/>
      <c r="M184" s="43"/>
    </row>
    <row r="186" spans="1:23" ht="16.5">
      <c r="A186" s="77" t="s">
        <v>687</v>
      </c>
      <c r="B186" s="77"/>
      <c r="C186" s="165"/>
      <c r="D186" s="43" t="str">
        <f t="shared" ref="D186:N186" si="131">B1</f>
        <v>總分</v>
      </c>
      <c r="E186" s="43" t="str">
        <f t="shared" si="131"/>
        <v>中國語文</v>
      </c>
      <c r="F186" s="43" t="str">
        <f t="shared" si="131"/>
        <v>英國語文</v>
      </c>
      <c r="G186" s="43" t="str">
        <f t="shared" si="131"/>
        <v>數學</v>
      </c>
      <c r="H186" s="43" t="str">
        <f t="shared" si="131"/>
        <v>通識教育</v>
      </c>
      <c r="I186" s="43" t="str">
        <f t="shared" si="131"/>
        <v>數學延伸</v>
      </c>
      <c r="J186" s="43" t="str">
        <f t="shared" si="131"/>
        <v>請選擇第一選修科</v>
      </c>
      <c r="K186" s="43" t="str">
        <f t="shared" si="131"/>
        <v>請選擇第二選修科</v>
      </c>
      <c r="L186" s="43" t="str">
        <f t="shared" si="131"/>
        <v>請選擇第三選修科</v>
      </c>
      <c r="M186" s="43" t="str">
        <f t="shared" si="131"/>
        <v>請選擇第四選修科</v>
      </c>
      <c r="N186" s="43" t="str">
        <f t="shared" si="131"/>
        <v>請選擇語言科目</v>
      </c>
    </row>
    <row r="187" spans="1:23">
      <c r="A187" s="43" t="s">
        <v>619</v>
      </c>
      <c r="B187" s="43" t="s">
        <v>621</v>
      </c>
      <c r="C187" s="163" t="s">
        <v>688</v>
      </c>
      <c r="D187" s="43">
        <f>F187+G187+P190+S190+LARGE((H187:N187,E187),1)</f>
        <v>1.9500000000000001E-9</v>
      </c>
      <c r="E187" s="43">
        <f t="shared" ref="E187:N187" si="132">C6</f>
        <v>1E-10</v>
      </c>
      <c r="F187" s="43">
        <f t="shared" si="132"/>
        <v>2.0000000000000001E-10</v>
      </c>
      <c r="G187" s="43">
        <f t="shared" si="132"/>
        <v>3E-10</v>
      </c>
      <c r="H187" s="43">
        <f t="shared" si="132"/>
        <v>4.0000000000000001E-10</v>
      </c>
      <c r="I187" s="43">
        <f>IF(OR(I186=$S$189,I186=$P$189),0,G6)</f>
        <v>0</v>
      </c>
      <c r="J187" s="43">
        <f>IF(OR(J186=$T$189,J186=$Q$189),0,H6)</f>
        <v>6E-10</v>
      </c>
      <c r="K187" s="43">
        <f t="shared" ref="K187:M187" si="133">IF(OR(K186=$T$189,K186=$Q$189),0,I6)</f>
        <v>6.9999999999999996E-10</v>
      </c>
      <c r="L187" s="43">
        <f t="shared" si="133"/>
        <v>8.0000000000000003E-10</v>
      </c>
      <c r="M187" s="43">
        <f t="shared" si="133"/>
        <v>8.9999999999999999E-10</v>
      </c>
      <c r="N187" s="43">
        <f t="shared" si="132"/>
        <v>9.5000000000000003E-10</v>
      </c>
      <c r="V187" s="43" t="s">
        <v>875</v>
      </c>
      <c r="W187" s="43" t="s">
        <v>881</v>
      </c>
    </row>
    <row r="188" spans="1:23">
      <c r="A188" s="43" t="s">
        <v>622</v>
      </c>
      <c r="B188" s="43" t="s">
        <v>624</v>
      </c>
      <c r="C188" s="163" t="s">
        <v>886</v>
      </c>
      <c r="D188" s="43">
        <f>IF(G13*1.5&gt;E13,F188+I188+LARGE((E188,G188:H188,J188:N188),1)+LARGE((E188,G188:H188,J188:N188),2)+LARGE((E188,G188:H188,J188:N188),3),F188+G188+LARGE((E188,H188:N188),1)+LARGE((E188,H188:N188),2)+LARGE((E188,H188:N188),3))</f>
        <v>3.7000000000000005E-9</v>
      </c>
      <c r="E188" s="43">
        <f t="shared" ref="E188:N188" si="134">C6</f>
        <v>1E-10</v>
      </c>
      <c r="F188" s="43">
        <f>D6*1.5</f>
        <v>3E-10</v>
      </c>
      <c r="G188" s="43">
        <f>E6</f>
        <v>3E-10</v>
      </c>
      <c r="H188" s="43">
        <f t="shared" si="134"/>
        <v>4.0000000000000001E-10</v>
      </c>
      <c r="I188" s="43">
        <f>IF(G13*1.5&gt;E13,G13*1.5,G13)</f>
        <v>7.500000000000001E-10</v>
      </c>
      <c r="J188" s="43">
        <f>H6</f>
        <v>6E-10</v>
      </c>
      <c r="K188" s="43">
        <f t="shared" ref="K188:M188" si="135">I6</f>
        <v>6.9999999999999996E-10</v>
      </c>
      <c r="L188" s="43">
        <f t="shared" si="135"/>
        <v>8.0000000000000003E-10</v>
      </c>
      <c r="M188" s="43">
        <f t="shared" si="135"/>
        <v>8.9999999999999999E-10</v>
      </c>
      <c r="N188" s="43">
        <f t="shared" si="134"/>
        <v>9.5000000000000003E-10</v>
      </c>
      <c r="P188" s="43" t="s">
        <v>434</v>
      </c>
      <c r="S188" s="43" t="s">
        <v>874</v>
      </c>
      <c r="U188" s="43" t="s">
        <v>873</v>
      </c>
      <c r="V188" s="43" t="str">
        <f>INDEX(H$1:K$1,MATCH(LARGE(R166:U166,1),R166:U166,0))</f>
        <v>請選擇第一選修科</v>
      </c>
    </row>
    <row r="189" spans="1:23">
      <c r="A189" s="43" t="s">
        <v>625</v>
      </c>
      <c r="B189" s="43" t="s">
        <v>627</v>
      </c>
      <c r="C189" s="163" t="s">
        <v>689</v>
      </c>
      <c r="D189" s="43">
        <f>IF(G14*1.5&gt;E14,F189+I189+LARGE((E189,G189:H189,J189:N189),1)+LARGE((E189,G189:H189,J189:N189),2)+LARGE((E189,G189:H189,J189:N189),3),F189+G189+LARGE((E189,H189:N189),1)+LARGE((E189,H189:N189),2)+LARGE((E189,H189:N189),3))</f>
        <v>3.2500000000000002E-9</v>
      </c>
      <c r="E189" s="43">
        <f t="shared" ref="E189:N189" si="136">C6</f>
        <v>1E-10</v>
      </c>
      <c r="F189" s="43">
        <f>D6*1.5</f>
        <v>3E-10</v>
      </c>
      <c r="G189" s="43">
        <f t="shared" si="136"/>
        <v>3E-10</v>
      </c>
      <c r="H189" s="43">
        <f t="shared" si="136"/>
        <v>4.0000000000000001E-10</v>
      </c>
      <c r="I189" s="43">
        <f>IF(G13*1.5&gt;E13,G13*1.5,G13)</f>
        <v>7.500000000000001E-10</v>
      </c>
      <c r="J189" s="43">
        <f>H6</f>
        <v>6E-10</v>
      </c>
      <c r="K189" s="43">
        <f t="shared" ref="K189:M189" si="137">I6</f>
        <v>6.9999999999999996E-10</v>
      </c>
      <c r="L189" s="43">
        <f t="shared" si="137"/>
        <v>8.0000000000000003E-10</v>
      </c>
      <c r="M189" s="43">
        <f t="shared" si="137"/>
        <v>8.9999999999999999E-10</v>
      </c>
      <c r="N189" s="43">
        <f t="shared" si="136"/>
        <v>9.5000000000000003E-10</v>
      </c>
      <c r="P189" s="43" t="str">
        <f>INDEX(G$1:K$1,MATCH(LARGE(Q165:U165,1),Q165:U165,0))</f>
        <v>數學延伸</v>
      </c>
      <c r="Q189" s="43">
        <f>IF(OR(P189="物理",P189="化學",P189="生物",P189="組合科學 (物理、化學)",P189="組合科學 (生物、化學)",P189="組合科學 (物理、生物)"),P189,0)</f>
        <v>0</v>
      </c>
      <c r="S189" s="43" t="str">
        <f>INDEX(G$1:K$1,MATCH(LARGE(Q165:U165,2),Q165:U165,0))</f>
        <v>請選擇第一選修科</v>
      </c>
      <c r="T189" s="43">
        <f>IF(OR(S189="物理",S189="化學",S189="生物",S189="組合科學 (物理、化學)",S189="組合科學 (生物、化學)",S189="組合科學 (物理、生物)"),S189,0)</f>
        <v>0</v>
      </c>
      <c r="U189" s="43">
        <f>IF(OR(R190=0,T190=0),0,1)</f>
        <v>0</v>
      </c>
      <c r="V189" s="43">
        <f>IF(V191=0,LARGE((R166:U166),1),0)</f>
        <v>0</v>
      </c>
      <c r="W189" s="43">
        <f>LARGE((R167:U167),1)</f>
        <v>0</v>
      </c>
    </row>
    <row r="190" spans="1:23">
      <c r="A190" s="43" t="s">
        <v>628</v>
      </c>
      <c r="B190" s="43" t="s">
        <v>629</v>
      </c>
      <c r="C190" s="163" t="s">
        <v>689</v>
      </c>
      <c r="D190" s="43">
        <f>IF(P193*2&gt;V189,P193*2+LARGE((E190,H190:N190),1)+LARGE((E190,H190:N190),2)+F190+G190,V189+LARGE((E190,H190:N190),1)+LARGE((E190,H190:N190),2)+F190+G190)</f>
        <v>2.8499999999999999E-9</v>
      </c>
      <c r="E190" s="43">
        <f t="shared" ref="E190:N190" si="138">C6</f>
        <v>1E-10</v>
      </c>
      <c r="F190" s="43">
        <f>D6*2</f>
        <v>4.0000000000000001E-10</v>
      </c>
      <c r="G190" s="43">
        <f>E6*2</f>
        <v>6E-10</v>
      </c>
      <c r="H190" s="43">
        <f t="shared" si="138"/>
        <v>4.0000000000000001E-10</v>
      </c>
      <c r="I190" s="43">
        <f>G6*1.5</f>
        <v>7.500000000000001E-10</v>
      </c>
      <c r="J190" s="43">
        <f t="shared" ref="J190:M190" si="139">IF(AND(J186=$P$189,$R$193*2&gt;$V$189),0,IF(AND(J186=$V$188,$R$193*2&lt;$V$189),0,H6))</f>
        <v>6E-10</v>
      </c>
      <c r="K190" s="43">
        <f>IF(AND(K186=$P$189,$R$193*2&gt;$V$189),0,IF(AND(K186=$V$188,$R$193*2&lt;$V$189),0,I6))</f>
        <v>6.9999999999999996E-10</v>
      </c>
      <c r="L190" s="43">
        <f t="shared" si="139"/>
        <v>8.0000000000000003E-10</v>
      </c>
      <c r="M190" s="43">
        <f t="shared" si="139"/>
        <v>8.9999999999999999E-10</v>
      </c>
      <c r="N190" s="43">
        <f t="shared" si="138"/>
        <v>9.5000000000000003E-10</v>
      </c>
      <c r="P190" s="43">
        <f>LARGE((Q165:U165),1)</f>
        <v>5.0000000000000003E-10</v>
      </c>
      <c r="R190" s="43">
        <f>IF(P190&lt;3,0,P190)</f>
        <v>0</v>
      </c>
      <c r="S190" s="43">
        <f>LARGE((Q165:U165),2)</f>
        <v>0</v>
      </c>
      <c r="T190" s="43">
        <f t="shared" ref="T190:T191" si="140">IF(S190&lt;3,0,S190)</f>
        <v>0</v>
      </c>
    </row>
    <row r="191" spans="1:23">
      <c r="A191" s="43" t="s">
        <v>630</v>
      </c>
      <c r="B191" s="43" t="s">
        <v>632</v>
      </c>
      <c r="C191" s="163" t="s">
        <v>689</v>
      </c>
      <c r="D191" s="43">
        <f>IF(R195*2&gt;V189,R195*2+LARGE((E191,H191:N191),1)+LARGE((E191,H191:N191),2)+F191+G191,V189+LARGE((E191,H191:N191),1)+LARGE((E191,H191:N191),2)+F191+G191)</f>
        <v>2.8499999999999999E-9</v>
      </c>
      <c r="E191" s="43">
        <f t="shared" ref="E191:N191" si="141">C6</f>
        <v>1E-10</v>
      </c>
      <c r="F191" s="43">
        <f>D6*2</f>
        <v>4.0000000000000001E-10</v>
      </c>
      <c r="G191" s="43">
        <f>E6*2</f>
        <v>6E-10</v>
      </c>
      <c r="H191" s="43">
        <f t="shared" si="141"/>
        <v>4.0000000000000001E-10</v>
      </c>
      <c r="I191" s="43">
        <f>G6*1.5</f>
        <v>7.500000000000001E-10</v>
      </c>
      <c r="J191" s="43">
        <f>IF(AND(J186=$P$194,$R$195*2&gt;$V$189),0,IF(AND(J186=$V$188,$R$195*2&lt;$V$189),0,H7))</f>
        <v>6E-10</v>
      </c>
      <c r="K191" s="43">
        <f t="shared" ref="K191:M191" si="142">IF(K186=$Q$194,0,I6)</f>
        <v>6.9999999999999996E-10</v>
      </c>
      <c r="L191" s="43">
        <f t="shared" si="142"/>
        <v>8.0000000000000003E-10</v>
      </c>
      <c r="M191" s="43">
        <f t="shared" si="142"/>
        <v>8.9999999999999999E-10</v>
      </c>
      <c r="N191" s="43">
        <f t="shared" si="141"/>
        <v>9.5000000000000003E-10</v>
      </c>
      <c r="O191" s="97" t="s">
        <v>876</v>
      </c>
      <c r="P191" s="43">
        <f>IF(OR(P189="物理",P189="數學延伸"),P190*2,IF(OR(P189="生物",P189="化學",P189="組合科學 (物理、化學)",P189="組合科學 (生物、化學)",P189="組合科學 (物理、生物)"),P190*1.5,P190))</f>
        <v>1.0000000000000001E-9</v>
      </c>
      <c r="R191" s="43">
        <f>IF(P191&lt;3,0,P191)</f>
        <v>0</v>
      </c>
      <c r="S191" s="43">
        <f>IF(OR(S189="物理",S189="數學延伸"),S190*2,IF(OR(S189="生物",S189="化學",S189="組合科學 (物理、化學)",S189="組合科學 (生物、化學)",S189="組合科學 (物理、生物)"),S190*1.5,S190))</f>
        <v>0</v>
      </c>
      <c r="T191" s="43">
        <f t="shared" si="140"/>
        <v>0</v>
      </c>
    </row>
    <row r="192" spans="1:23">
      <c r="A192" s="43" t="s">
        <v>633</v>
      </c>
      <c r="B192" s="43" t="s">
        <v>635</v>
      </c>
      <c r="C192" s="163" t="s">
        <v>690</v>
      </c>
      <c r="D192" s="43">
        <f>F192+G192+LARGE((E192,H192:N192),1)+LARGE((E192,H192:N192),2)+LARGE((E192,H192:N192),3)+LARGE((E192,H192:N192),4)</f>
        <v>4.3500000000000001E-9</v>
      </c>
      <c r="E192" s="43">
        <f t="shared" ref="E192:N192" si="143">C6</f>
        <v>1E-10</v>
      </c>
      <c r="F192" s="43">
        <f>D6*2</f>
        <v>4.0000000000000001E-10</v>
      </c>
      <c r="G192" s="43">
        <f>E6*2</f>
        <v>6E-10</v>
      </c>
      <c r="H192" s="43">
        <f t="shared" si="143"/>
        <v>4.0000000000000001E-10</v>
      </c>
      <c r="I192" s="43">
        <f t="shared" si="143"/>
        <v>5.0000000000000003E-10</v>
      </c>
      <c r="J192" s="43">
        <f t="shared" si="143"/>
        <v>6E-10</v>
      </c>
      <c r="K192" s="43">
        <f t="shared" ref="K192" si="144">I6</f>
        <v>6.9999999999999996E-10</v>
      </c>
      <c r="L192" s="43">
        <f t="shared" ref="L192" si="145">J6</f>
        <v>8.0000000000000003E-10</v>
      </c>
      <c r="M192" s="43">
        <f t="shared" ref="M192" si="146">K6</f>
        <v>8.9999999999999999E-10</v>
      </c>
      <c r="N192" s="43">
        <f t="shared" si="143"/>
        <v>9.5000000000000003E-10</v>
      </c>
      <c r="O192" s="97" t="s">
        <v>884</v>
      </c>
      <c r="P192" s="43">
        <f>IF(OR(P189="生物",P189="化學"),P190*2,IF(OR(P189="物理",P189="數學延伸",P189="組合科學 (物理、化學)",P189="組合科學 (生物、化學)",P189="組合科學 (物理、生物)"),P190*1.5,P190))</f>
        <v>7.500000000000001E-10</v>
      </c>
      <c r="R192" s="43">
        <f>IF(P192&lt;3,0,P192)</f>
        <v>0</v>
      </c>
      <c r="S192" s="43">
        <f>IF(OR(S189="生物",S189="化學"),S190*2,IF(OR(S189="物理",S189="數學延伸",S189="組合科學 (物理、化學)",S189="組合科學 (生物、化學)",S189="組合科學 (物理、生物)"),S190*1.5,S190))</f>
        <v>0</v>
      </c>
      <c r="T192" s="43">
        <f>IF(S192&lt;3,0,S192)</f>
        <v>0</v>
      </c>
    </row>
    <row r="193" spans="1:25">
      <c r="A193" s="43" t="s">
        <v>636</v>
      </c>
      <c r="B193" s="43" t="s">
        <v>638</v>
      </c>
      <c r="C193" s="163" t="s">
        <v>690</v>
      </c>
      <c r="D193" s="43">
        <f>F193+G193+LARGE((E193,H193:N193),1)+LARGE((E193,H193:N193),2)+LARGE((E193,H193:N193),3)+LARGE((E193,H193:N193),4)</f>
        <v>4.3500000000000001E-9</v>
      </c>
      <c r="E193" s="43">
        <f t="shared" ref="E193:N193" si="147">C6</f>
        <v>1E-10</v>
      </c>
      <c r="F193" s="43">
        <f>D6*2</f>
        <v>4.0000000000000001E-10</v>
      </c>
      <c r="G193" s="43">
        <f>E6*2</f>
        <v>6E-10</v>
      </c>
      <c r="H193" s="43">
        <f t="shared" si="147"/>
        <v>4.0000000000000001E-10</v>
      </c>
      <c r="I193" s="43">
        <f t="shared" si="147"/>
        <v>5.0000000000000003E-10</v>
      </c>
      <c r="J193" s="43">
        <f>H6</f>
        <v>6E-10</v>
      </c>
      <c r="K193" s="43">
        <f t="shared" ref="K193:M193" si="148">I6</f>
        <v>6.9999999999999996E-10</v>
      </c>
      <c r="L193" s="43">
        <f t="shared" si="148"/>
        <v>8.0000000000000003E-10</v>
      </c>
      <c r="M193" s="43">
        <f t="shared" si="148"/>
        <v>8.9999999999999999E-10</v>
      </c>
      <c r="N193" s="43">
        <f t="shared" si="147"/>
        <v>9.5000000000000003E-10</v>
      </c>
      <c r="O193" s="97" t="s">
        <v>878</v>
      </c>
      <c r="P193" s="43">
        <f>LARGE((R165:U165),1)</f>
        <v>0</v>
      </c>
      <c r="R193" s="43">
        <f>IF(P193&lt;3,0,P193)</f>
        <v>0</v>
      </c>
    </row>
    <row r="194" spans="1:25">
      <c r="A194" s="43" t="s">
        <v>639</v>
      </c>
      <c r="B194" s="43" t="s">
        <v>641</v>
      </c>
      <c r="C194" s="163" t="s">
        <v>872</v>
      </c>
      <c r="D194" s="43">
        <f>F194+G194+LARGE((E194,H194:N194),1)+LARGE((E194,H194:N194),2)+LARGE((E194,H194:N194),3)+LARGE((E194,H194:N194),4)</f>
        <v>4.3999999999999997E-9</v>
      </c>
      <c r="E194" s="43">
        <f t="shared" ref="E194:N194" si="149">C6</f>
        <v>1E-10</v>
      </c>
      <c r="F194" s="43">
        <f>D6*2</f>
        <v>4.0000000000000001E-10</v>
      </c>
      <c r="G194" s="43">
        <f>E6*2</f>
        <v>6E-10</v>
      </c>
      <c r="H194" s="43">
        <f t="shared" si="149"/>
        <v>4.0000000000000001E-10</v>
      </c>
      <c r="I194" s="43">
        <f t="shared" ref="I194" si="150">IF(I186=$P$196,G6*1.5,G6)</f>
        <v>7.500000000000001E-10</v>
      </c>
      <c r="J194" s="43">
        <f>IF(J186=$Q$196,H6*1.5,H6)</f>
        <v>6E-10</v>
      </c>
      <c r="K194" s="43">
        <f t="shared" ref="K194:M194" si="151">IF(K186=$Q$196,I6*1.5,I6)</f>
        <v>6.9999999999999996E-10</v>
      </c>
      <c r="L194" s="43">
        <f t="shared" si="151"/>
        <v>8.0000000000000003E-10</v>
      </c>
      <c r="M194" s="43">
        <f t="shared" si="151"/>
        <v>8.9999999999999999E-10</v>
      </c>
      <c r="N194" s="43">
        <f t="shared" si="149"/>
        <v>9.5000000000000003E-10</v>
      </c>
      <c r="O194" s="43" t="s">
        <v>879</v>
      </c>
      <c r="P194" s="43" t="str">
        <f>INDEX(H$1:K$1,MATCH(LARGE(R167:U167,1),R167:U167,0))</f>
        <v>請選擇第一選修科</v>
      </c>
      <c r="Q194" s="43">
        <f>IF(OR(P194="物理",P194="化學",P194="生物",P194="設計與應用科技",P194="組合科學 (物理、化學)",P194="組合科學 (生物、化學)",P194="組合科學 (物理、生物)"),P194,0)</f>
        <v>0</v>
      </c>
    </row>
    <row r="195" spans="1:25">
      <c r="A195" s="43" t="s">
        <v>642</v>
      </c>
      <c r="B195" s="43" t="s">
        <v>644</v>
      </c>
      <c r="C195" s="163" t="s">
        <v>690</v>
      </c>
      <c r="D195" s="43">
        <f>F195+G195+LARGE((E195,H195:N195),1)+LARGE((E195,H195:N195),2)+LARGE((E195,H195:N195),3)+LARGE((E195,H195:N195),4)</f>
        <v>4.3500000000000001E-9</v>
      </c>
      <c r="E195" s="43">
        <f t="shared" ref="E195:N195" si="152">C6</f>
        <v>1E-10</v>
      </c>
      <c r="F195" s="43">
        <f>D6*2</f>
        <v>4.0000000000000001E-10</v>
      </c>
      <c r="G195" s="43">
        <f>E6*2</f>
        <v>6E-10</v>
      </c>
      <c r="H195" s="43">
        <f t="shared" si="152"/>
        <v>4.0000000000000001E-10</v>
      </c>
      <c r="I195" s="43">
        <f t="shared" ref="I195" si="153">G6</f>
        <v>5.0000000000000003E-10</v>
      </c>
      <c r="J195" s="43">
        <f t="shared" ref="J195" si="154">H6</f>
        <v>6E-10</v>
      </c>
      <c r="K195" s="43">
        <f t="shared" ref="K195" si="155">I6</f>
        <v>6.9999999999999996E-10</v>
      </c>
      <c r="L195" s="43">
        <f t="shared" ref="L195" si="156">J6</f>
        <v>8.0000000000000003E-10</v>
      </c>
      <c r="M195" s="43">
        <f t="shared" ref="M195" si="157">K6</f>
        <v>8.9999999999999999E-10</v>
      </c>
      <c r="N195" s="43">
        <f t="shared" si="152"/>
        <v>9.5000000000000003E-10</v>
      </c>
      <c r="P195" s="43">
        <f>LARGE((R167:U167),1)</f>
        <v>0</v>
      </c>
      <c r="R195" s="43">
        <f>IF(P195&lt;3,0,P195)</f>
        <v>0</v>
      </c>
      <c r="T195" s="43" t="s">
        <v>87</v>
      </c>
      <c r="W195" s="43" t="s">
        <v>1029</v>
      </c>
    </row>
    <row r="196" spans="1:25">
      <c r="A196" s="43" t="s">
        <v>645</v>
      </c>
      <c r="B196" s="43" t="s">
        <v>647</v>
      </c>
      <c r="C196" s="163" t="s">
        <v>690</v>
      </c>
      <c r="D196" s="43">
        <f>F196+G196+LARGE((E196,H196:N196),1)+LARGE((E196,H196:N196),2)+LARGE((E196,H196:N196),3)+LARGE((E196,H196:N196),4)</f>
        <v>4.3500000000000001E-9</v>
      </c>
      <c r="E196" s="43">
        <f t="shared" ref="E196:N196" si="158">C6</f>
        <v>1E-10</v>
      </c>
      <c r="F196" s="43">
        <f>D6*2</f>
        <v>4.0000000000000001E-10</v>
      </c>
      <c r="G196" s="43">
        <f>E6*2</f>
        <v>6E-10</v>
      </c>
      <c r="H196" s="43">
        <f t="shared" si="158"/>
        <v>4.0000000000000001E-10</v>
      </c>
      <c r="I196" s="43">
        <f t="shared" si="158"/>
        <v>5.0000000000000003E-10</v>
      </c>
      <c r="J196" s="43">
        <f t="shared" si="158"/>
        <v>6E-10</v>
      </c>
      <c r="K196" s="43">
        <f t="shared" ref="K196" si="159">I6</f>
        <v>6.9999999999999996E-10</v>
      </c>
      <c r="L196" s="43">
        <f t="shared" ref="L196" si="160">J6</f>
        <v>8.0000000000000003E-10</v>
      </c>
      <c r="M196" s="43">
        <f t="shared" ref="M196" si="161">K6</f>
        <v>8.9999999999999999E-10</v>
      </c>
      <c r="N196" s="43">
        <f t="shared" si="158"/>
        <v>9.5000000000000003E-10</v>
      </c>
      <c r="O196" s="43" t="s">
        <v>883</v>
      </c>
      <c r="P196" s="43" t="str">
        <f>INDEX(G$1:K$1,MATCH(LARGE(Q168:U168,1),Q168:U168,0))</f>
        <v>數學延伸</v>
      </c>
      <c r="Q196" s="43" t="str">
        <f>IF(OR(P196="物理",P196="化學",P196="經濟",P196="數學延伸"),P196,0)</f>
        <v>數學延伸</v>
      </c>
      <c r="T196" s="43">
        <f>IF(Q174&lt;3,0,Q174)</f>
        <v>0</v>
      </c>
      <c r="W196" s="43" t="s">
        <v>887</v>
      </c>
      <c r="X196" s="43" t="s">
        <v>889</v>
      </c>
      <c r="Y196" s="43" t="s">
        <v>409</v>
      </c>
    </row>
    <row r="197" spans="1:25">
      <c r="A197" s="43" t="s">
        <v>648</v>
      </c>
      <c r="B197" s="43" t="s">
        <v>650</v>
      </c>
      <c r="C197" s="163" t="s">
        <v>690</v>
      </c>
      <c r="D197" s="43">
        <f>F197+G197+LARGE((E197,H197:N197),1)+LARGE((E197,H197:N197),2)+LARGE((E197,H197:N197),3)+LARGE((E197,H197:N197),4)</f>
        <v>4.3500000000000001E-9</v>
      </c>
      <c r="E197" s="43">
        <f t="shared" ref="E197:N197" si="162">C6</f>
        <v>1E-10</v>
      </c>
      <c r="F197" s="43">
        <f>D6*2</f>
        <v>4.0000000000000001E-10</v>
      </c>
      <c r="G197" s="43">
        <f>E6*2</f>
        <v>6E-10</v>
      </c>
      <c r="H197" s="43">
        <f t="shared" si="162"/>
        <v>4.0000000000000001E-10</v>
      </c>
      <c r="I197" s="43">
        <f t="shared" si="162"/>
        <v>5.0000000000000003E-10</v>
      </c>
      <c r="J197" s="43">
        <f t="shared" si="162"/>
        <v>6E-10</v>
      </c>
      <c r="K197" s="43">
        <f t="shared" ref="K197" si="163">I6</f>
        <v>6.9999999999999996E-10</v>
      </c>
      <c r="L197" s="43">
        <f t="shared" ref="L197" si="164">J6</f>
        <v>8.0000000000000003E-10</v>
      </c>
      <c r="M197" s="43">
        <f t="shared" ref="M197" si="165">K6</f>
        <v>8.9999999999999999E-10</v>
      </c>
      <c r="N197" s="43">
        <f t="shared" si="162"/>
        <v>9.5000000000000003E-10</v>
      </c>
      <c r="P197" s="43">
        <f>LARGE((Q168:U168),1)</f>
        <v>5.0000000000000003E-10</v>
      </c>
      <c r="R197" s="43">
        <f>IF(P197&lt;3,0,P197)</f>
        <v>0</v>
      </c>
      <c r="W197" s="43">
        <f>IF(U189=0,R192+F189+G189+LARGE((E189,H189:N189),1)+LARGE((E189,H189:N189),2),R192+F189+G189+T192+LARGE((E189,H189:N189),1))</f>
        <v>2.45E-9</v>
      </c>
      <c r="X197" s="43">
        <f>IF(OR(I186=$S$189,I186=$P$189),0,G6)</f>
        <v>0</v>
      </c>
      <c r="Y197" s="43">
        <f>IF(OR(J186=$T$189,J186=$Q$189),0,H6)</f>
        <v>6E-10</v>
      </c>
    </row>
    <row r="198" spans="1:25">
      <c r="A198" s="43" t="s">
        <v>651</v>
      </c>
      <c r="B198" s="43" t="s">
        <v>653</v>
      </c>
      <c r="C198" s="163" t="s">
        <v>690</v>
      </c>
      <c r="D198" s="43">
        <f>F198+G198+LARGE((E198,H198:N198),1)+LARGE((E198,H198:N198),2)+LARGE((E198,H198:N198),3)+LARGE((E198,H198:N198),4)</f>
        <v>4.3500000000000001E-9</v>
      </c>
      <c r="E198" s="43">
        <f t="shared" ref="E198:N198" si="166">C6</f>
        <v>1E-10</v>
      </c>
      <c r="F198" s="43">
        <f>D6*2</f>
        <v>4.0000000000000001E-10</v>
      </c>
      <c r="G198" s="43">
        <f>E6*2</f>
        <v>6E-10</v>
      </c>
      <c r="H198" s="43">
        <f t="shared" si="166"/>
        <v>4.0000000000000001E-10</v>
      </c>
      <c r="I198" s="43">
        <f t="shared" si="166"/>
        <v>5.0000000000000003E-10</v>
      </c>
      <c r="J198" s="43">
        <f t="shared" si="166"/>
        <v>6E-10</v>
      </c>
      <c r="K198" s="43">
        <f t="shared" ref="K198" si="167">I6</f>
        <v>6.9999999999999996E-10</v>
      </c>
      <c r="L198" s="43">
        <f t="shared" ref="L198" si="168">J6</f>
        <v>8.0000000000000003E-10</v>
      </c>
      <c r="M198" s="43">
        <f t="shared" ref="M198" si="169">K6</f>
        <v>8.9999999999999999E-10</v>
      </c>
      <c r="N198" s="43">
        <f t="shared" si="166"/>
        <v>9.5000000000000003E-10</v>
      </c>
      <c r="O198" s="97" t="s">
        <v>877</v>
      </c>
      <c r="P198" s="43" t="str">
        <f>INDEX(G$1:K$1,MATCH(LARGE(Q169:U169,1),Q169:U169,0))</f>
        <v>請選擇第一選修科</v>
      </c>
      <c r="Q198" s="43">
        <f>IF(OR(P198="化學",P198="生物"),P198,0)</f>
        <v>0</v>
      </c>
    </row>
    <row r="199" spans="1:25">
      <c r="A199" s="43" t="s">
        <v>654</v>
      </c>
      <c r="B199" s="43" t="s">
        <v>656</v>
      </c>
      <c r="C199" s="163" t="s">
        <v>690</v>
      </c>
      <c r="D199" s="43">
        <f>F199+G199+LARGE((E199,H199:N199),1)+LARGE((E199,H199:N199),2)+LARGE((E199,H199:N199),3)+LARGE((E199,H199:N199),4)</f>
        <v>4.3500000000000001E-9</v>
      </c>
      <c r="E199" s="43">
        <f t="shared" ref="E199:N199" si="170">C6</f>
        <v>1E-10</v>
      </c>
      <c r="F199" s="43">
        <f>D6*2</f>
        <v>4.0000000000000001E-10</v>
      </c>
      <c r="G199" s="43">
        <f>E6*2</f>
        <v>6E-10</v>
      </c>
      <c r="H199" s="43">
        <f t="shared" si="170"/>
        <v>4.0000000000000001E-10</v>
      </c>
      <c r="I199" s="43">
        <f t="shared" si="170"/>
        <v>5.0000000000000003E-10</v>
      </c>
      <c r="J199" s="43">
        <f t="shared" si="170"/>
        <v>6E-10</v>
      </c>
      <c r="K199" s="43">
        <f t="shared" ref="K199" si="171">I6</f>
        <v>6.9999999999999996E-10</v>
      </c>
      <c r="L199" s="43">
        <f t="shared" ref="L199" si="172">J6</f>
        <v>8.0000000000000003E-10</v>
      </c>
      <c r="M199" s="43">
        <f t="shared" ref="M199" si="173">K6</f>
        <v>8.9999999999999999E-10</v>
      </c>
      <c r="N199" s="43">
        <f t="shared" si="170"/>
        <v>9.5000000000000003E-10</v>
      </c>
      <c r="P199" s="43">
        <f>LARGE((Q169:U169),1)*1.5</f>
        <v>0</v>
      </c>
      <c r="R199" s="43">
        <f t="shared" ref="R199" si="174">IF(P199&lt;3,0,P199)</f>
        <v>0</v>
      </c>
      <c r="S199" s="43">
        <f>LARGE((Q169:U169),2)</f>
        <v>0</v>
      </c>
      <c r="T199" s="43">
        <f>IF(S199&lt;3,0,S199)</f>
        <v>0</v>
      </c>
    </row>
    <row r="200" spans="1:25">
      <c r="A200" s="43" t="s">
        <v>657</v>
      </c>
      <c r="B200" s="43" t="s">
        <v>659</v>
      </c>
      <c r="C200" s="163" t="s">
        <v>690</v>
      </c>
      <c r="D200" s="43">
        <f>F200+G200+LARGE((E200,H200:N200),1)+LARGE((E200,H200:N200),2)+LARGE((E200,H200:N200),3)+LARGE((E200,H200:N200),4)</f>
        <v>4.3500000000000001E-9</v>
      </c>
      <c r="E200" s="43">
        <f t="shared" ref="E200:N200" si="175">C6</f>
        <v>1E-10</v>
      </c>
      <c r="F200" s="43">
        <f>D6*2</f>
        <v>4.0000000000000001E-10</v>
      </c>
      <c r="G200" s="43">
        <f>E6*2</f>
        <v>6E-10</v>
      </c>
      <c r="H200" s="43">
        <f t="shared" si="175"/>
        <v>4.0000000000000001E-10</v>
      </c>
      <c r="I200" s="43">
        <f t="shared" si="175"/>
        <v>5.0000000000000003E-10</v>
      </c>
      <c r="J200" s="43">
        <f t="shared" si="175"/>
        <v>6E-10</v>
      </c>
      <c r="K200" s="43">
        <f t="shared" ref="K200" si="176">I6</f>
        <v>6.9999999999999996E-10</v>
      </c>
      <c r="L200" s="43">
        <f t="shared" ref="L200" si="177">J6</f>
        <v>8.0000000000000003E-10</v>
      </c>
      <c r="M200" s="43">
        <f t="shared" ref="M200" si="178">K6</f>
        <v>8.9999999999999999E-10</v>
      </c>
      <c r="N200" s="43">
        <f t="shared" si="175"/>
        <v>9.5000000000000003E-10</v>
      </c>
      <c r="O200" s="43" t="s">
        <v>885</v>
      </c>
      <c r="P200" s="43" t="str">
        <f>INDEX(H$1:K$1,MATCH(LARGE(R170:U170,1),R170:U170,0))</f>
        <v>請選擇第一選修科</v>
      </c>
      <c r="Q200" s="43">
        <f>IF(OR(P200="化學",P200="生物"),P200,0)</f>
        <v>0</v>
      </c>
    </row>
    <row r="201" spans="1:25">
      <c r="A201" s="43" t="s">
        <v>660</v>
      </c>
      <c r="B201" s="43" t="s">
        <v>662</v>
      </c>
      <c r="C201" s="163" t="s">
        <v>872</v>
      </c>
      <c r="D201" s="43">
        <f>F201+G201+LARGE((E201,H201:N201),1)+LARGE((E201,H201:N201),2)+LARGE((E201,H201:N201),3)+LARGE((E201,H201:N201),4)</f>
        <v>4.3999999999999997E-9</v>
      </c>
      <c r="E201" s="43">
        <f t="shared" ref="E201:N201" si="179">C6</f>
        <v>1E-10</v>
      </c>
      <c r="F201" s="43">
        <f>D6*2</f>
        <v>4.0000000000000001E-10</v>
      </c>
      <c r="G201" s="43">
        <f>E6*2</f>
        <v>6E-10</v>
      </c>
      <c r="H201" s="43">
        <f t="shared" si="179"/>
        <v>4.0000000000000001E-10</v>
      </c>
      <c r="I201" s="43">
        <f>IF(I186=$P$196,G6*1.5,G6)</f>
        <v>7.500000000000001E-10</v>
      </c>
      <c r="J201" s="43">
        <f>IF(J186=$Q$196,H6*1.5,H6)</f>
        <v>6E-10</v>
      </c>
      <c r="K201" s="43">
        <f t="shared" ref="K201:M201" si="180">IF(K186=$Q$196,I6*1.5,I6)</f>
        <v>6.9999999999999996E-10</v>
      </c>
      <c r="L201" s="43">
        <f t="shared" si="180"/>
        <v>8.0000000000000003E-10</v>
      </c>
      <c r="M201" s="43">
        <f t="shared" si="180"/>
        <v>8.9999999999999999E-10</v>
      </c>
      <c r="N201" s="43">
        <f t="shared" si="179"/>
        <v>9.5000000000000003E-10</v>
      </c>
      <c r="P201" s="43">
        <f>LARGE((R170:U170),1)</f>
        <v>0</v>
      </c>
      <c r="Q201" s="43">
        <f>IF(G6*2&gt;P201*1.5,1,0)</f>
        <v>1</v>
      </c>
      <c r="U201" s="43" t="s">
        <v>1229</v>
      </c>
      <c r="V201" s="43">
        <f>LARGE((R165:U165),1)*2</f>
        <v>0</v>
      </c>
    </row>
    <row r="202" spans="1:25">
      <c r="A202" s="43" t="s">
        <v>663</v>
      </c>
      <c r="B202" s="43" t="s">
        <v>665</v>
      </c>
      <c r="C202" s="163" t="s">
        <v>872</v>
      </c>
      <c r="D202" s="43">
        <f>F202+G202+LARGE((E202,H202:N202),1)+LARGE((E202,H202:N202),2)+LARGE((E202,H202:N202),3)+LARGE((E202,H202:N202),4)</f>
        <v>4.3999999999999997E-9</v>
      </c>
      <c r="E202" s="43">
        <f t="shared" ref="E202:N202" si="181">C6</f>
        <v>1E-10</v>
      </c>
      <c r="F202" s="43">
        <f>D6*2</f>
        <v>4.0000000000000001E-10</v>
      </c>
      <c r="G202" s="43">
        <f>E6*2</f>
        <v>6E-10</v>
      </c>
      <c r="H202" s="43">
        <f t="shared" si="181"/>
        <v>4.0000000000000001E-10</v>
      </c>
      <c r="I202" s="43">
        <f>IF(I186=$P$196,G6*1.5,G6)</f>
        <v>7.500000000000001E-10</v>
      </c>
      <c r="J202" s="43">
        <f>IF(J186=$Q$196,H6*1.5,H6)</f>
        <v>6E-10</v>
      </c>
      <c r="K202" s="43">
        <f t="shared" ref="K202:M202" si="182">IF(K186=$Q$196,I6*1.5,I6)</f>
        <v>6.9999999999999996E-10</v>
      </c>
      <c r="L202" s="43">
        <f t="shared" si="182"/>
        <v>8.0000000000000003E-10</v>
      </c>
      <c r="M202" s="43">
        <f t="shared" si="182"/>
        <v>8.9999999999999999E-10</v>
      </c>
      <c r="N202" s="43">
        <f t="shared" si="181"/>
        <v>9.5000000000000003E-10</v>
      </c>
      <c r="O202" s="43" t="s">
        <v>966</v>
      </c>
      <c r="P202" s="43" t="str">
        <f>INDEX(H$1:K$1,MATCH(LARGE(R171:U171,1),R171:U171,0))</f>
        <v>請選擇第一選修科</v>
      </c>
    </row>
    <row r="203" spans="1:25">
      <c r="A203" s="43" t="s">
        <v>666</v>
      </c>
      <c r="B203" s="43" t="s">
        <v>668</v>
      </c>
      <c r="C203" s="163" t="s">
        <v>691</v>
      </c>
      <c r="D203" s="43">
        <f>E203+F203+LARGE((G203:N203),1)+LARGE((G203:N203),2)+LARGE((G203:N203),3)+LARGE((G203:N203),4)</f>
        <v>3.9000000000000002E-9</v>
      </c>
      <c r="E203" s="43">
        <f>C6*1.5</f>
        <v>1.5E-10</v>
      </c>
      <c r="F203" s="43">
        <f>D6*2</f>
        <v>4.0000000000000001E-10</v>
      </c>
      <c r="G203" s="43">
        <f>E6</f>
        <v>3E-10</v>
      </c>
      <c r="H203" s="43">
        <f t="shared" ref="H203:N203" si="183">F6</f>
        <v>4.0000000000000001E-10</v>
      </c>
      <c r="I203" s="43">
        <f t="shared" si="183"/>
        <v>5.0000000000000003E-10</v>
      </c>
      <c r="J203" s="43">
        <f t="shared" si="183"/>
        <v>6E-10</v>
      </c>
      <c r="K203" s="43">
        <f t="shared" ref="K203" si="184">I6</f>
        <v>6.9999999999999996E-10</v>
      </c>
      <c r="L203" s="43">
        <f t="shared" ref="L203" si="185">J6</f>
        <v>8.0000000000000003E-10</v>
      </c>
      <c r="M203" s="43">
        <f t="shared" ref="M203" si="186">K6</f>
        <v>8.9999999999999999E-10</v>
      </c>
      <c r="N203" s="43">
        <f t="shared" si="183"/>
        <v>9.5000000000000003E-10</v>
      </c>
      <c r="P203" s="43">
        <f>LARGE((R171:U171),1)</f>
        <v>0</v>
      </c>
    </row>
    <row r="204" spans="1:25">
      <c r="A204" s="43" t="s">
        <v>669</v>
      </c>
      <c r="B204" s="43" t="s">
        <v>671</v>
      </c>
      <c r="C204" s="163" t="s">
        <v>690</v>
      </c>
      <c r="D204" s="43">
        <f>F204+G204+LARGE((E204,H204:N204),1)+LARGE((E204,H204:N204),2)+LARGE((E204,H204:N204),3)+LARGE((E204,H204:N204),4)</f>
        <v>4.3999999999999997E-9</v>
      </c>
      <c r="E204" s="43">
        <f>C6</f>
        <v>1E-10</v>
      </c>
      <c r="F204" s="43">
        <f>D6*2</f>
        <v>4.0000000000000001E-10</v>
      </c>
      <c r="G204" s="43">
        <f>E6*2</f>
        <v>6E-10</v>
      </c>
      <c r="H204" s="43">
        <f t="shared" ref="H204:N204" si="187">F6</f>
        <v>4.0000000000000001E-10</v>
      </c>
      <c r="I204" s="43">
        <f>G6*1.5</f>
        <v>7.500000000000001E-10</v>
      </c>
      <c r="J204" s="43">
        <f>H6</f>
        <v>6E-10</v>
      </c>
      <c r="K204" s="43">
        <f t="shared" ref="K204:M204" si="188">I6</f>
        <v>6.9999999999999996E-10</v>
      </c>
      <c r="L204" s="43">
        <f t="shared" si="188"/>
        <v>8.0000000000000003E-10</v>
      </c>
      <c r="M204" s="43">
        <f t="shared" si="188"/>
        <v>8.9999999999999999E-10</v>
      </c>
      <c r="N204" s="43">
        <f t="shared" si="187"/>
        <v>9.5000000000000003E-10</v>
      </c>
      <c r="O204" s="97" t="s">
        <v>1001</v>
      </c>
      <c r="P204" s="43" t="str">
        <f>INDEX(H$1:K$1,MATCH(LARGE(R172:U172,1),R172:U172,0))</f>
        <v>請選擇第一選修科</v>
      </c>
      <c r="Q204" s="43">
        <f>IF(OR(P204="化學",P204="生物"),P204,0)</f>
        <v>0</v>
      </c>
    </row>
    <row r="205" spans="1:25">
      <c r="A205" s="43" t="s">
        <v>672</v>
      </c>
      <c r="B205" s="43" t="s">
        <v>674</v>
      </c>
      <c r="C205" s="163" t="s">
        <v>690</v>
      </c>
      <c r="D205" s="43">
        <f>F205+G205+P199+LARGE((E205,H205:N205),1)+LARGE((E205,H205:N205),2)+LARGE((E205,H205:N205),3)</f>
        <v>3.65E-9</v>
      </c>
      <c r="E205" s="43">
        <f>C6</f>
        <v>1E-10</v>
      </c>
      <c r="F205" s="43">
        <f>D6*2</f>
        <v>4.0000000000000001E-10</v>
      </c>
      <c r="G205" s="43">
        <f>E6*2</f>
        <v>6E-10</v>
      </c>
      <c r="H205" s="43">
        <f t="shared" ref="H205:N205" si="189">F6</f>
        <v>4.0000000000000001E-10</v>
      </c>
      <c r="I205" s="43">
        <f t="shared" si="189"/>
        <v>5.0000000000000003E-10</v>
      </c>
      <c r="J205" s="43">
        <f>IF(J186=Q198,0,H6)</f>
        <v>6E-10</v>
      </c>
      <c r="K205" s="43">
        <f t="shared" ref="K205:M205" si="190">IF(K186=R198,0,I6)</f>
        <v>6.9999999999999996E-10</v>
      </c>
      <c r="L205" s="43">
        <f t="shared" si="190"/>
        <v>8.0000000000000003E-10</v>
      </c>
      <c r="M205" s="43">
        <f t="shared" si="190"/>
        <v>8.9999999999999999E-10</v>
      </c>
      <c r="N205" s="43">
        <f t="shared" si="189"/>
        <v>9.5000000000000003E-10</v>
      </c>
      <c r="P205" s="43">
        <f>LARGE((R172:U172),1)*1.5</f>
        <v>0</v>
      </c>
      <c r="R205" s="43">
        <f t="shared" ref="R205:R208" si="191">IF(P205&lt;3,0,P205)</f>
        <v>0</v>
      </c>
    </row>
    <row r="206" spans="1:25">
      <c r="A206" s="43" t="s">
        <v>675</v>
      </c>
      <c r="B206" s="43" t="s">
        <v>677</v>
      </c>
      <c r="C206" s="163" t="s">
        <v>690</v>
      </c>
      <c r="D206" s="43">
        <f>E206+F206+LARGE((G206:N206),1)+LARGE((G206:N206),2)+LARGE((G206:N206),3)+LARGE((G206:N206),4)</f>
        <v>3.8500000000000006E-9</v>
      </c>
      <c r="E206" s="43">
        <f>C6</f>
        <v>1E-10</v>
      </c>
      <c r="F206" s="43">
        <f>D6*2</f>
        <v>4.0000000000000001E-10</v>
      </c>
      <c r="G206" s="43">
        <f>E6*2</f>
        <v>6E-10</v>
      </c>
      <c r="H206" s="43">
        <f t="shared" ref="H206:N206" si="192">F6</f>
        <v>4.0000000000000001E-10</v>
      </c>
      <c r="I206" s="43">
        <f t="shared" si="192"/>
        <v>5.0000000000000003E-10</v>
      </c>
      <c r="J206" s="43">
        <f t="shared" si="192"/>
        <v>6E-10</v>
      </c>
      <c r="K206" s="43">
        <f t="shared" ref="K206" si="193">I6</f>
        <v>6.9999999999999996E-10</v>
      </c>
      <c r="L206" s="43">
        <f t="shared" ref="L206" si="194">J6</f>
        <v>8.0000000000000003E-10</v>
      </c>
      <c r="M206" s="43">
        <f t="shared" ref="M206" si="195">K6</f>
        <v>8.9999999999999999E-10</v>
      </c>
      <c r="N206" s="43">
        <f t="shared" si="192"/>
        <v>9.5000000000000003E-10</v>
      </c>
      <c r="O206" s="43" t="s">
        <v>1023</v>
      </c>
      <c r="P206" s="43">
        <f>LARGE((Q173:U173),1)</f>
        <v>5.0000000000000003E-10</v>
      </c>
      <c r="R206" s="43">
        <f t="shared" si="191"/>
        <v>0</v>
      </c>
    </row>
    <row r="207" spans="1:25">
      <c r="A207" s="43" t="s">
        <v>678</v>
      </c>
      <c r="B207" s="43" t="s">
        <v>680</v>
      </c>
      <c r="C207" s="163" t="s">
        <v>690</v>
      </c>
      <c r="D207" s="43">
        <f>F207+G207+LARGE((E207,H207:N207),1)+LARGE((E207,H207:N207),2)+LARGE((E207,H207:N207),3)+LARGE((E207,H207:N207),4)</f>
        <v>4.6499999999999995E-9</v>
      </c>
      <c r="E207" s="43">
        <f>C6</f>
        <v>1E-10</v>
      </c>
      <c r="F207" s="43">
        <f>D6*2</f>
        <v>4.0000000000000001E-10</v>
      </c>
      <c r="G207" s="43">
        <f>E6*2</f>
        <v>6E-10</v>
      </c>
      <c r="H207" s="43">
        <f t="shared" ref="H207:N207" si="196">F6</f>
        <v>4.0000000000000001E-10</v>
      </c>
      <c r="I207" s="43">
        <f>IF(Q201=1,G6*2,G6)</f>
        <v>1.0000000000000001E-9</v>
      </c>
      <c r="J207" s="43">
        <f>IF(AND($Q$201=0,J186=$Q$200),H6*1.5,H6)</f>
        <v>6E-10</v>
      </c>
      <c r="K207" s="43">
        <f>IF(AND($Q$201=0,K186=$Q$200),I6*1.5,I6)</f>
        <v>6.9999999999999996E-10</v>
      </c>
      <c r="L207" s="43">
        <f>IF(AND($Q$201=0,L186=$Q$200),J6*1.5,J6)</f>
        <v>8.0000000000000003E-10</v>
      </c>
      <c r="M207" s="43">
        <f t="shared" ref="M207" si="197">IF(AND($Q$201=0,M186=$Q$200),K6*1.5,K6)</f>
        <v>8.9999999999999999E-10</v>
      </c>
      <c r="N207" s="43">
        <f t="shared" si="196"/>
        <v>9.5000000000000003E-10</v>
      </c>
      <c r="O207" s="43" t="s">
        <v>1024</v>
      </c>
      <c r="P207" s="43">
        <f>LARGE((Q174:U174),1)</f>
        <v>5.0000000000000003E-10</v>
      </c>
      <c r="R207" s="43">
        <f t="shared" si="191"/>
        <v>0</v>
      </c>
    </row>
    <row r="208" spans="1:25">
      <c r="A208" s="43" t="s">
        <v>681</v>
      </c>
      <c r="B208" s="43" t="s">
        <v>683</v>
      </c>
      <c r="C208" s="163" t="s">
        <v>690</v>
      </c>
      <c r="D208" s="43">
        <f>F208+G208+LARGE((E208,H208:N208),1)+LARGE((E208,H208:N208),2)+LARGE((E208,H208:N208),3)+LARGE((E208,H208:N208),4)</f>
        <v>4.3999999999999997E-9</v>
      </c>
      <c r="E208" s="43">
        <f>C6</f>
        <v>1E-10</v>
      </c>
      <c r="F208" s="43">
        <f>D6*2</f>
        <v>4.0000000000000001E-10</v>
      </c>
      <c r="G208" s="43">
        <f>E6*2</f>
        <v>6E-10</v>
      </c>
      <c r="H208" s="43">
        <f t="shared" ref="H208:N208" si="198">F6</f>
        <v>4.0000000000000001E-10</v>
      </c>
      <c r="I208" s="43">
        <f>G6*1.5</f>
        <v>7.500000000000001E-10</v>
      </c>
      <c r="J208" s="43">
        <f t="shared" si="198"/>
        <v>6E-10</v>
      </c>
      <c r="K208" s="43">
        <f t="shared" ref="K208" si="199">I6</f>
        <v>6.9999999999999996E-10</v>
      </c>
      <c r="L208" s="43">
        <f t="shared" ref="L208" si="200">J6</f>
        <v>8.0000000000000003E-10</v>
      </c>
      <c r="M208" s="43">
        <f t="shared" ref="M208" si="201">K6</f>
        <v>8.9999999999999999E-10</v>
      </c>
      <c r="N208" s="43">
        <f t="shared" si="198"/>
        <v>9.5000000000000003E-10</v>
      </c>
      <c r="O208" s="43" t="s">
        <v>1025</v>
      </c>
      <c r="P208" s="43">
        <f>LARGE((Q175:U175),1)</f>
        <v>0</v>
      </c>
      <c r="R208" s="43">
        <f t="shared" si="191"/>
        <v>0</v>
      </c>
    </row>
    <row r="209" spans="1:20">
      <c r="A209" s="43" t="s">
        <v>684</v>
      </c>
      <c r="B209" s="43" t="s">
        <v>686</v>
      </c>
      <c r="C209" s="163" t="s">
        <v>872</v>
      </c>
      <c r="D209" s="43">
        <f>IF(R193*2&gt;V189,R193*2+LARGE((E209,H209:N209),1)+LARGE((E209,H209:N209),2)+LARGE((E209,H209:N209),3)+F209+G209,V189+LARGE((E209,H209:N209),1)+LARGE((E209,H209:N209),2)+LARGE((G209,H209:N209),3)+F209+G209)</f>
        <v>3.65E-9</v>
      </c>
      <c r="E209" s="43">
        <f>C6</f>
        <v>1E-10</v>
      </c>
      <c r="F209" s="43">
        <f>D6*2</f>
        <v>4.0000000000000001E-10</v>
      </c>
      <c r="G209" s="43">
        <f>E6*2</f>
        <v>6E-10</v>
      </c>
      <c r="H209" s="43">
        <f t="shared" ref="H209:N209" si="202">F6</f>
        <v>4.0000000000000001E-10</v>
      </c>
      <c r="I209" s="43">
        <f>G6*1.5</f>
        <v>7.500000000000001E-10</v>
      </c>
      <c r="J209" s="43">
        <f>IF(J186=$P$189,0,H6)</f>
        <v>6E-10</v>
      </c>
      <c r="K209" s="43">
        <f t="shared" ref="K209:M209" si="203">IF(K186=$P$189,0,I6)</f>
        <v>6.9999999999999996E-10</v>
      </c>
      <c r="L209" s="43">
        <f t="shared" si="203"/>
        <v>8.0000000000000003E-10</v>
      </c>
      <c r="M209" s="43">
        <f t="shared" si="203"/>
        <v>8.9999999999999999E-10</v>
      </c>
      <c r="N209" s="43">
        <f t="shared" si="202"/>
        <v>9.5000000000000003E-10</v>
      </c>
      <c r="O209" s="43" t="s">
        <v>1026</v>
      </c>
      <c r="P209" s="43">
        <f>LARGE((Q176:U176),1)</f>
        <v>0</v>
      </c>
      <c r="R209" s="43">
        <f t="shared" ref="R209:R210" si="204">IF(P209&lt;3,0,P209)</f>
        <v>0</v>
      </c>
    </row>
    <row r="210" spans="1:20">
      <c r="C210" s="163"/>
      <c r="L210" s="43"/>
      <c r="M210" s="43"/>
      <c r="O210" s="43" t="s">
        <v>1027</v>
      </c>
      <c r="P210" s="43">
        <f>LARGE((Q177:U177),1)</f>
        <v>0</v>
      </c>
      <c r="R210" s="43">
        <f t="shared" si="204"/>
        <v>0</v>
      </c>
    </row>
    <row r="211" spans="1:20" ht="16.5">
      <c r="A211" s="44" t="s">
        <v>843</v>
      </c>
      <c r="D211" s="43" t="str">
        <f t="shared" ref="D211:N211" si="205">B1</f>
        <v>總分</v>
      </c>
      <c r="E211" s="43" t="str">
        <f t="shared" si="205"/>
        <v>中國語文</v>
      </c>
      <c r="F211" s="43" t="str">
        <f t="shared" si="205"/>
        <v>英國語文</v>
      </c>
      <c r="G211" s="43" t="str">
        <f t="shared" si="205"/>
        <v>數學</v>
      </c>
      <c r="H211" s="43" t="str">
        <f t="shared" si="205"/>
        <v>通識教育</v>
      </c>
      <c r="I211" s="43" t="str">
        <f t="shared" si="205"/>
        <v>數學延伸</v>
      </c>
      <c r="J211" s="43" t="str">
        <f t="shared" si="205"/>
        <v>請選擇第一選修科</v>
      </c>
      <c r="K211" s="43" t="str">
        <f t="shared" si="205"/>
        <v>請選擇第二選修科</v>
      </c>
      <c r="L211" s="43" t="str">
        <f t="shared" si="205"/>
        <v>請選擇第三選修科</v>
      </c>
      <c r="M211" s="43" t="str">
        <f t="shared" si="205"/>
        <v>請選擇第四選修科</v>
      </c>
      <c r="N211" s="43" t="str">
        <f t="shared" si="205"/>
        <v>請選擇語言科目</v>
      </c>
      <c r="O211" s="43" t="s">
        <v>1028</v>
      </c>
      <c r="P211" s="43">
        <f>LARGE((R178:U178),1)</f>
        <v>0</v>
      </c>
      <c r="R211" s="43">
        <f t="shared" ref="R211" si="206">IF(P211&lt;3,0,P211)</f>
        <v>0</v>
      </c>
    </row>
    <row r="212" spans="1:20">
      <c r="A212" s="43" t="s">
        <v>692</v>
      </c>
      <c r="B212" s="43" t="s">
        <v>693</v>
      </c>
      <c r="C212" s="162" t="s">
        <v>220</v>
      </c>
      <c r="D212" s="43">
        <f>SUM(E212:H212)+LARGE((I212:N212),1)+LARGE((I212:N212),2)</f>
        <v>2.8499999999999999E-9</v>
      </c>
      <c r="E212" s="43">
        <f t="shared" ref="E212:E239" si="207">$C$7</f>
        <v>1E-10</v>
      </c>
      <c r="F212" s="43">
        <f>$D$7</f>
        <v>2.0000000000000001E-10</v>
      </c>
      <c r="G212" s="43">
        <f t="shared" ref="G212:G227" si="208">$E$7</f>
        <v>3E-10</v>
      </c>
      <c r="H212" s="43">
        <f t="shared" ref="H212:H236" si="209">$F$7</f>
        <v>4.0000000000000001E-10</v>
      </c>
      <c r="I212" s="43">
        <f t="shared" ref="I212:I243" si="210">$G$7</f>
        <v>5.0000000000000003E-10</v>
      </c>
      <c r="J212" s="43">
        <f t="shared" ref="J212:J243" si="211">$H$7</f>
        <v>6E-10</v>
      </c>
      <c r="K212" s="43">
        <f t="shared" ref="K212:K243" si="212">$I$7</f>
        <v>6.9999999999999996E-10</v>
      </c>
      <c r="L212" s="43">
        <f t="shared" ref="L212:L243" si="213">$J$7</f>
        <v>8.0000000000000003E-10</v>
      </c>
      <c r="M212" s="43">
        <f t="shared" ref="M212:M243" si="214">$K$7</f>
        <v>8.9999999999999999E-10</v>
      </c>
      <c r="N212" s="43">
        <f t="shared" ref="N212:N243" si="215">$L$7</f>
        <v>9.5000000000000003E-10</v>
      </c>
      <c r="O212" s="43" t="s">
        <v>1030</v>
      </c>
      <c r="P212" s="43">
        <f>LARGE((Q179:U179),1)</f>
        <v>5.0000000000000003E-10</v>
      </c>
      <c r="R212" s="43">
        <f t="shared" ref="R212" si="216">IF(P212&lt;3,0,P212)</f>
        <v>0</v>
      </c>
    </row>
    <row r="213" spans="1:20">
      <c r="A213" s="43" t="s">
        <v>695</v>
      </c>
      <c r="B213" s="43" t="s">
        <v>696</v>
      </c>
      <c r="C213" s="162" t="s">
        <v>220</v>
      </c>
      <c r="D213" s="43">
        <f t="shared" ref="D213:D260" si="217">SUM(E213:H213)+LARGE((I213:N213),1)+LARGE((I213:N213),2)</f>
        <v>2.8499999999999999E-9</v>
      </c>
      <c r="E213" s="43">
        <f t="shared" si="207"/>
        <v>1E-10</v>
      </c>
      <c r="F213" s="43">
        <f>$D$7</f>
        <v>2.0000000000000001E-10</v>
      </c>
      <c r="G213" s="43">
        <f t="shared" si="208"/>
        <v>3E-10</v>
      </c>
      <c r="H213" s="43">
        <f t="shared" si="209"/>
        <v>4.0000000000000001E-10</v>
      </c>
      <c r="I213" s="43">
        <f t="shared" si="210"/>
        <v>5.0000000000000003E-10</v>
      </c>
      <c r="J213" s="43">
        <f t="shared" si="211"/>
        <v>6E-10</v>
      </c>
      <c r="K213" s="43">
        <f t="shared" si="212"/>
        <v>6.9999999999999996E-10</v>
      </c>
      <c r="L213" s="43">
        <f t="shared" si="213"/>
        <v>8.0000000000000003E-10</v>
      </c>
      <c r="M213" s="43">
        <f t="shared" si="214"/>
        <v>8.9999999999999999E-10</v>
      </c>
      <c r="N213" s="43">
        <f t="shared" si="215"/>
        <v>9.5000000000000003E-10</v>
      </c>
      <c r="O213" s="43" t="s">
        <v>1031</v>
      </c>
      <c r="P213" s="43">
        <f>LARGE((Q180:U180),1)</f>
        <v>5.0000000000000003E-10</v>
      </c>
      <c r="R213" s="43">
        <f t="shared" ref="R213:R214" si="218">IF(P213&lt;3,0,P213)</f>
        <v>0</v>
      </c>
      <c r="S213" s="43" t="s">
        <v>1032</v>
      </c>
      <c r="T213" s="43">
        <f>IF(P213&lt;3,0,R213)</f>
        <v>0</v>
      </c>
    </row>
    <row r="214" spans="1:20">
      <c r="A214" s="43" t="s">
        <v>698</v>
      </c>
      <c r="B214" s="43" t="s">
        <v>699</v>
      </c>
      <c r="C214" s="162" t="s">
        <v>215</v>
      </c>
      <c r="D214" s="43">
        <f t="shared" si="217"/>
        <v>2.8499999999999999E-9</v>
      </c>
      <c r="E214" s="43">
        <f t="shared" si="207"/>
        <v>1E-10</v>
      </c>
      <c r="F214" s="43">
        <f>$D$7</f>
        <v>2.0000000000000001E-10</v>
      </c>
      <c r="G214" s="43">
        <f t="shared" si="208"/>
        <v>3E-10</v>
      </c>
      <c r="H214" s="43">
        <f t="shared" si="209"/>
        <v>4.0000000000000001E-10</v>
      </c>
      <c r="I214" s="43">
        <f t="shared" si="210"/>
        <v>5.0000000000000003E-10</v>
      </c>
      <c r="J214" s="43">
        <f t="shared" si="211"/>
        <v>6E-10</v>
      </c>
      <c r="K214" s="43">
        <f t="shared" si="212"/>
        <v>6.9999999999999996E-10</v>
      </c>
      <c r="L214" s="43">
        <f t="shared" si="213"/>
        <v>8.0000000000000003E-10</v>
      </c>
      <c r="M214" s="43">
        <f t="shared" si="214"/>
        <v>8.9999999999999999E-10</v>
      </c>
      <c r="N214" s="43">
        <f t="shared" si="215"/>
        <v>9.5000000000000003E-10</v>
      </c>
      <c r="O214" s="43" t="s">
        <v>1141</v>
      </c>
      <c r="P214" s="43">
        <f>LARGE((Q181:U181),1)</f>
        <v>0</v>
      </c>
      <c r="R214" s="43">
        <f t="shared" si="218"/>
        <v>0</v>
      </c>
    </row>
    <row r="215" spans="1:20">
      <c r="A215" s="43" t="s">
        <v>701</v>
      </c>
      <c r="B215" s="43" t="s">
        <v>702</v>
      </c>
      <c r="C215" s="162" t="s">
        <v>215</v>
      </c>
      <c r="D215" s="43">
        <f t="shared" si="217"/>
        <v>2.8499999999999999E-9</v>
      </c>
      <c r="E215" s="43">
        <f t="shared" si="207"/>
        <v>1E-10</v>
      </c>
      <c r="F215" s="43">
        <f>$D$7</f>
        <v>2.0000000000000001E-10</v>
      </c>
      <c r="G215" s="43">
        <f t="shared" si="208"/>
        <v>3E-10</v>
      </c>
      <c r="H215" s="43">
        <f t="shared" si="209"/>
        <v>4.0000000000000001E-10</v>
      </c>
      <c r="I215" s="43">
        <f t="shared" si="210"/>
        <v>5.0000000000000003E-10</v>
      </c>
      <c r="J215" s="43">
        <f t="shared" si="211"/>
        <v>6E-10</v>
      </c>
      <c r="K215" s="43">
        <f t="shared" si="212"/>
        <v>6.9999999999999996E-10</v>
      </c>
      <c r="L215" s="43">
        <f t="shared" si="213"/>
        <v>8.0000000000000003E-10</v>
      </c>
      <c r="M215" s="43">
        <f t="shared" si="214"/>
        <v>8.9999999999999999E-10</v>
      </c>
      <c r="N215" s="43">
        <f t="shared" si="215"/>
        <v>9.5000000000000003E-10</v>
      </c>
      <c r="O215" s="43" t="s">
        <v>1028</v>
      </c>
      <c r="P215" s="43">
        <f>LARGE((R182:U182),1)</f>
        <v>0</v>
      </c>
      <c r="R215" s="43">
        <f>IF(P215&lt;3,0,P215)</f>
        <v>0</v>
      </c>
    </row>
    <row r="216" spans="1:20">
      <c r="A216" s="43" t="s">
        <v>704</v>
      </c>
      <c r="B216" s="43" t="s">
        <v>705</v>
      </c>
      <c r="C216" s="162" t="s">
        <v>215</v>
      </c>
      <c r="D216" s="43">
        <f t="shared" si="217"/>
        <v>2.9499999999999999E-9</v>
      </c>
      <c r="E216" s="43">
        <f t="shared" si="207"/>
        <v>1E-10</v>
      </c>
      <c r="F216" s="43">
        <f>$D$7*1.5</f>
        <v>3E-10</v>
      </c>
      <c r="G216" s="43">
        <f t="shared" si="208"/>
        <v>3E-10</v>
      </c>
      <c r="H216" s="43">
        <f t="shared" si="209"/>
        <v>4.0000000000000001E-10</v>
      </c>
      <c r="I216" s="43">
        <f t="shared" si="210"/>
        <v>5.0000000000000003E-10</v>
      </c>
      <c r="J216" s="43">
        <f t="shared" si="211"/>
        <v>6E-10</v>
      </c>
      <c r="K216" s="43">
        <f t="shared" si="212"/>
        <v>6.9999999999999996E-10</v>
      </c>
      <c r="L216" s="43">
        <f t="shared" si="213"/>
        <v>8.0000000000000003E-10</v>
      </c>
      <c r="M216" s="43">
        <f t="shared" si="214"/>
        <v>8.9999999999999999E-10</v>
      </c>
      <c r="N216" s="43">
        <f t="shared" si="215"/>
        <v>9.5000000000000003E-10</v>
      </c>
      <c r="O216" s="43" t="s">
        <v>1390</v>
      </c>
      <c r="P216" s="43">
        <f>LARGE((R183:U183),1)</f>
        <v>0</v>
      </c>
      <c r="R216" s="43">
        <f>IF(P216&lt;3,0,P216)</f>
        <v>0</v>
      </c>
    </row>
    <row r="217" spans="1:20">
      <c r="A217" s="43" t="s">
        <v>707</v>
      </c>
      <c r="B217" s="43" t="s">
        <v>708</v>
      </c>
      <c r="C217" s="162" t="s">
        <v>215</v>
      </c>
      <c r="D217" s="43">
        <f t="shared" si="217"/>
        <v>2.8499999999999999E-9</v>
      </c>
      <c r="E217" s="43">
        <f t="shared" si="207"/>
        <v>1E-10</v>
      </c>
      <c r="F217" s="43">
        <f t="shared" ref="F217:F225" si="219">$D$7</f>
        <v>2.0000000000000001E-10</v>
      </c>
      <c r="G217" s="43">
        <f t="shared" si="208"/>
        <v>3E-10</v>
      </c>
      <c r="H217" s="43">
        <f t="shared" si="209"/>
        <v>4.0000000000000001E-10</v>
      </c>
      <c r="I217" s="43">
        <f t="shared" si="210"/>
        <v>5.0000000000000003E-10</v>
      </c>
      <c r="J217" s="43">
        <f t="shared" si="211"/>
        <v>6E-10</v>
      </c>
      <c r="K217" s="43">
        <f t="shared" si="212"/>
        <v>6.9999999999999996E-10</v>
      </c>
      <c r="L217" s="43">
        <f t="shared" si="213"/>
        <v>8.0000000000000003E-10</v>
      </c>
      <c r="M217" s="43">
        <f t="shared" si="214"/>
        <v>8.9999999999999999E-10</v>
      </c>
      <c r="N217" s="43">
        <f t="shared" si="215"/>
        <v>9.5000000000000003E-10</v>
      </c>
    </row>
    <row r="218" spans="1:20">
      <c r="A218" s="43" t="s">
        <v>710</v>
      </c>
      <c r="B218" s="43" t="s">
        <v>711</v>
      </c>
      <c r="C218" s="162" t="s">
        <v>215</v>
      </c>
      <c r="D218" s="43" t="s">
        <v>393</v>
      </c>
      <c r="E218" s="43">
        <f t="shared" si="207"/>
        <v>1E-10</v>
      </c>
      <c r="F218" s="43">
        <f t="shared" si="219"/>
        <v>2.0000000000000001E-10</v>
      </c>
      <c r="G218" s="43">
        <f t="shared" si="208"/>
        <v>3E-10</v>
      </c>
      <c r="H218" s="43">
        <f t="shared" si="209"/>
        <v>4.0000000000000001E-10</v>
      </c>
      <c r="I218" s="43">
        <f t="shared" si="210"/>
        <v>5.0000000000000003E-10</v>
      </c>
      <c r="J218" s="43">
        <f t="shared" si="211"/>
        <v>6E-10</v>
      </c>
      <c r="K218" s="43">
        <f t="shared" si="212"/>
        <v>6.9999999999999996E-10</v>
      </c>
      <c r="L218" s="43">
        <f t="shared" si="213"/>
        <v>8.0000000000000003E-10</v>
      </c>
      <c r="M218" s="43">
        <f t="shared" si="214"/>
        <v>8.9999999999999999E-10</v>
      </c>
      <c r="N218" s="43">
        <f t="shared" si="215"/>
        <v>9.5000000000000003E-10</v>
      </c>
    </row>
    <row r="219" spans="1:20">
      <c r="A219" s="43" t="s">
        <v>713</v>
      </c>
      <c r="B219" s="43" t="s">
        <v>714</v>
      </c>
      <c r="C219" s="162" t="s">
        <v>215</v>
      </c>
      <c r="D219" s="43" t="s">
        <v>393</v>
      </c>
      <c r="E219" s="43">
        <f t="shared" si="207"/>
        <v>1E-10</v>
      </c>
      <c r="F219" s="43">
        <f t="shared" si="219"/>
        <v>2.0000000000000001E-10</v>
      </c>
      <c r="G219" s="43">
        <f t="shared" si="208"/>
        <v>3E-10</v>
      </c>
      <c r="H219" s="43">
        <f t="shared" si="209"/>
        <v>4.0000000000000001E-10</v>
      </c>
      <c r="I219" s="43">
        <f t="shared" si="210"/>
        <v>5.0000000000000003E-10</v>
      </c>
      <c r="J219" s="43">
        <f t="shared" si="211"/>
        <v>6E-10</v>
      </c>
      <c r="K219" s="43">
        <f t="shared" si="212"/>
        <v>6.9999999999999996E-10</v>
      </c>
      <c r="L219" s="43">
        <f t="shared" si="213"/>
        <v>8.0000000000000003E-10</v>
      </c>
      <c r="M219" s="43">
        <f t="shared" si="214"/>
        <v>8.9999999999999999E-10</v>
      </c>
      <c r="N219" s="43">
        <f t="shared" si="215"/>
        <v>9.5000000000000003E-10</v>
      </c>
    </row>
    <row r="220" spans="1:20">
      <c r="A220" s="43" t="s">
        <v>716</v>
      </c>
      <c r="B220" s="43" t="s">
        <v>717</v>
      </c>
      <c r="C220" s="162" t="s">
        <v>215</v>
      </c>
      <c r="D220" s="43">
        <f t="shared" si="217"/>
        <v>2.8499999999999999E-9</v>
      </c>
      <c r="E220" s="43">
        <f t="shared" si="207"/>
        <v>1E-10</v>
      </c>
      <c r="F220" s="43">
        <f t="shared" si="219"/>
        <v>2.0000000000000001E-10</v>
      </c>
      <c r="G220" s="43">
        <f t="shared" si="208"/>
        <v>3E-10</v>
      </c>
      <c r="H220" s="43">
        <f t="shared" si="209"/>
        <v>4.0000000000000001E-10</v>
      </c>
      <c r="I220" s="43">
        <f t="shared" si="210"/>
        <v>5.0000000000000003E-10</v>
      </c>
      <c r="J220" s="43">
        <f t="shared" si="211"/>
        <v>6E-10</v>
      </c>
      <c r="K220" s="43">
        <f t="shared" si="212"/>
        <v>6.9999999999999996E-10</v>
      </c>
      <c r="L220" s="43">
        <f t="shared" si="213"/>
        <v>8.0000000000000003E-10</v>
      </c>
      <c r="M220" s="43">
        <f t="shared" si="214"/>
        <v>8.9999999999999999E-10</v>
      </c>
      <c r="N220" s="43">
        <f t="shared" si="215"/>
        <v>9.5000000000000003E-10</v>
      </c>
    </row>
    <row r="221" spans="1:20">
      <c r="A221" s="43" t="s">
        <v>719</v>
      </c>
      <c r="B221" s="43" t="s">
        <v>720</v>
      </c>
      <c r="C221" s="162" t="s">
        <v>215</v>
      </c>
      <c r="D221" s="43" t="s">
        <v>393</v>
      </c>
      <c r="E221" s="43">
        <f t="shared" si="207"/>
        <v>1E-10</v>
      </c>
      <c r="F221" s="43">
        <f t="shared" si="219"/>
        <v>2.0000000000000001E-10</v>
      </c>
      <c r="G221" s="43">
        <f t="shared" si="208"/>
        <v>3E-10</v>
      </c>
      <c r="H221" s="43">
        <f t="shared" si="209"/>
        <v>4.0000000000000001E-10</v>
      </c>
      <c r="I221" s="43">
        <f t="shared" si="210"/>
        <v>5.0000000000000003E-10</v>
      </c>
      <c r="J221" s="43">
        <f t="shared" si="211"/>
        <v>6E-10</v>
      </c>
      <c r="K221" s="43">
        <f t="shared" si="212"/>
        <v>6.9999999999999996E-10</v>
      </c>
      <c r="L221" s="43">
        <f t="shared" si="213"/>
        <v>8.0000000000000003E-10</v>
      </c>
      <c r="M221" s="43">
        <f t="shared" si="214"/>
        <v>8.9999999999999999E-10</v>
      </c>
      <c r="N221" s="43">
        <f t="shared" si="215"/>
        <v>9.5000000000000003E-10</v>
      </c>
    </row>
    <row r="222" spans="1:20">
      <c r="A222" s="43" t="s">
        <v>722</v>
      </c>
      <c r="B222" s="43" t="s">
        <v>723</v>
      </c>
      <c r="C222" s="162" t="s">
        <v>215</v>
      </c>
      <c r="D222" s="43" t="s">
        <v>393</v>
      </c>
      <c r="E222" s="43">
        <f t="shared" si="207"/>
        <v>1E-10</v>
      </c>
      <c r="F222" s="43">
        <f t="shared" si="219"/>
        <v>2.0000000000000001E-10</v>
      </c>
      <c r="G222" s="43">
        <f t="shared" si="208"/>
        <v>3E-10</v>
      </c>
      <c r="H222" s="43">
        <f t="shared" si="209"/>
        <v>4.0000000000000001E-10</v>
      </c>
      <c r="I222" s="43">
        <f t="shared" si="210"/>
        <v>5.0000000000000003E-10</v>
      </c>
      <c r="J222" s="43">
        <f t="shared" si="211"/>
        <v>6E-10</v>
      </c>
      <c r="K222" s="43">
        <f t="shared" si="212"/>
        <v>6.9999999999999996E-10</v>
      </c>
      <c r="L222" s="43">
        <f t="shared" si="213"/>
        <v>8.0000000000000003E-10</v>
      </c>
      <c r="M222" s="43">
        <f t="shared" si="214"/>
        <v>8.9999999999999999E-10</v>
      </c>
      <c r="N222" s="43">
        <f t="shared" si="215"/>
        <v>9.5000000000000003E-10</v>
      </c>
    </row>
    <row r="223" spans="1:20">
      <c r="A223" s="43" t="s">
        <v>725</v>
      </c>
      <c r="B223" s="43" t="s">
        <v>726</v>
      </c>
      <c r="C223" s="162" t="s">
        <v>215</v>
      </c>
      <c r="D223" s="43">
        <f t="shared" si="217"/>
        <v>2.8499999999999999E-9</v>
      </c>
      <c r="E223" s="43">
        <f t="shared" si="207"/>
        <v>1E-10</v>
      </c>
      <c r="F223" s="43">
        <f t="shared" si="219"/>
        <v>2.0000000000000001E-10</v>
      </c>
      <c r="G223" s="43">
        <f t="shared" si="208"/>
        <v>3E-10</v>
      </c>
      <c r="H223" s="43">
        <f t="shared" si="209"/>
        <v>4.0000000000000001E-10</v>
      </c>
      <c r="I223" s="43">
        <f t="shared" si="210"/>
        <v>5.0000000000000003E-10</v>
      </c>
      <c r="J223" s="43">
        <f t="shared" si="211"/>
        <v>6E-10</v>
      </c>
      <c r="K223" s="43">
        <f t="shared" si="212"/>
        <v>6.9999999999999996E-10</v>
      </c>
      <c r="L223" s="43">
        <f t="shared" si="213"/>
        <v>8.0000000000000003E-10</v>
      </c>
      <c r="M223" s="43">
        <f t="shared" si="214"/>
        <v>8.9999999999999999E-10</v>
      </c>
      <c r="N223" s="43">
        <f t="shared" si="215"/>
        <v>9.5000000000000003E-10</v>
      </c>
    </row>
    <row r="224" spans="1:20">
      <c r="A224" s="43" t="s">
        <v>728</v>
      </c>
      <c r="B224" s="43" t="s">
        <v>729</v>
      </c>
      <c r="C224" s="162" t="s">
        <v>215</v>
      </c>
      <c r="D224" s="43" t="s">
        <v>393</v>
      </c>
      <c r="E224" s="43">
        <f t="shared" si="207"/>
        <v>1E-10</v>
      </c>
      <c r="F224" s="43">
        <f t="shared" si="219"/>
        <v>2.0000000000000001E-10</v>
      </c>
      <c r="G224" s="43">
        <f t="shared" si="208"/>
        <v>3E-10</v>
      </c>
      <c r="H224" s="43">
        <f t="shared" si="209"/>
        <v>4.0000000000000001E-10</v>
      </c>
      <c r="I224" s="43">
        <f t="shared" si="210"/>
        <v>5.0000000000000003E-10</v>
      </c>
      <c r="J224" s="43">
        <f t="shared" si="211"/>
        <v>6E-10</v>
      </c>
      <c r="K224" s="43">
        <f t="shared" si="212"/>
        <v>6.9999999999999996E-10</v>
      </c>
      <c r="L224" s="43">
        <f t="shared" si="213"/>
        <v>8.0000000000000003E-10</v>
      </c>
      <c r="M224" s="43">
        <f t="shared" si="214"/>
        <v>8.9999999999999999E-10</v>
      </c>
      <c r="N224" s="43">
        <f t="shared" si="215"/>
        <v>9.5000000000000003E-10</v>
      </c>
    </row>
    <row r="225" spans="1:14">
      <c r="A225" s="43" t="s">
        <v>731</v>
      </c>
      <c r="B225" s="43" t="s">
        <v>732</v>
      </c>
      <c r="C225" s="162" t="s">
        <v>215</v>
      </c>
      <c r="D225" s="43" t="s">
        <v>393</v>
      </c>
      <c r="E225" s="43">
        <f t="shared" si="207"/>
        <v>1E-10</v>
      </c>
      <c r="F225" s="43">
        <f t="shared" si="219"/>
        <v>2.0000000000000001E-10</v>
      </c>
      <c r="G225" s="43">
        <f t="shared" si="208"/>
        <v>3E-10</v>
      </c>
      <c r="H225" s="43">
        <f t="shared" si="209"/>
        <v>4.0000000000000001E-10</v>
      </c>
      <c r="I225" s="43">
        <f t="shared" si="210"/>
        <v>5.0000000000000003E-10</v>
      </c>
      <c r="J225" s="43">
        <f t="shared" si="211"/>
        <v>6E-10</v>
      </c>
      <c r="K225" s="43">
        <f t="shared" si="212"/>
        <v>6.9999999999999996E-10</v>
      </c>
      <c r="L225" s="43">
        <f t="shared" si="213"/>
        <v>8.0000000000000003E-10</v>
      </c>
      <c r="M225" s="43">
        <f t="shared" si="214"/>
        <v>8.9999999999999999E-10</v>
      </c>
      <c r="N225" s="43">
        <f t="shared" si="215"/>
        <v>9.5000000000000003E-10</v>
      </c>
    </row>
    <row r="226" spans="1:14">
      <c r="A226" s="43" t="s">
        <v>734</v>
      </c>
      <c r="B226" s="43" t="s">
        <v>735</v>
      </c>
      <c r="C226" s="162" t="s">
        <v>215</v>
      </c>
      <c r="D226" s="43">
        <f t="shared" si="217"/>
        <v>3.05E-9</v>
      </c>
      <c r="E226" s="43">
        <f t="shared" si="207"/>
        <v>1E-10</v>
      </c>
      <c r="F226" s="43">
        <f>$D$7*2</f>
        <v>4.0000000000000001E-10</v>
      </c>
      <c r="G226" s="43">
        <f t="shared" si="208"/>
        <v>3E-10</v>
      </c>
      <c r="H226" s="43">
        <f t="shared" si="209"/>
        <v>4.0000000000000001E-10</v>
      </c>
      <c r="I226" s="43">
        <f t="shared" si="210"/>
        <v>5.0000000000000003E-10</v>
      </c>
      <c r="J226" s="43">
        <f t="shared" si="211"/>
        <v>6E-10</v>
      </c>
      <c r="K226" s="43">
        <f t="shared" si="212"/>
        <v>6.9999999999999996E-10</v>
      </c>
      <c r="L226" s="43">
        <f t="shared" si="213"/>
        <v>8.0000000000000003E-10</v>
      </c>
      <c r="M226" s="43">
        <f t="shared" si="214"/>
        <v>8.9999999999999999E-10</v>
      </c>
      <c r="N226" s="43">
        <f t="shared" si="215"/>
        <v>9.5000000000000003E-10</v>
      </c>
    </row>
    <row r="227" spans="1:14">
      <c r="A227" s="43" t="s">
        <v>737</v>
      </c>
      <c r="B227" s="43" t="s">
        <v>738</v>
      </c>
      <c r="C227" s="162" t="s">
        <v>215</v>
      </c>
      <c r="D227" s="43">
        <f t="shared" si="217"/>
        <v>3.05E-9</v>
      </c>
      <c r="E227" s="43">
        <f t="shared" si="207"/>
        <v>1E-10</v>
      </c>
      <c r="F227" s="43">
        <f>$D$7*2</f>
        <v>4.0000000000000001E-10</v>
      </c>
      <c r="G227" s="43">
        <f t="shared" si="208"/>
        <v>3E-10</v>
      </c>
      <c r="H227" s="43">
        <f t="shared" si="209"/>
        <v>4.0000000000000001E-10</v>
      </c>
      <c r="I227" s="43">
        <f t="shared" si="210"/>
        <v>5.0000000000000003E-10</v>
      </c>
      <c r="J227" s="43">
        <f t="shared" si="211"/>
        <v>6E-10</v>
      </c>
      <c r="K227" s="43">
        <f t="shared" si="212"/>
        <v>6.9999999999999996E-10</v>
      </c>
      <c r="L227" s="43">
        <f t="shared" si="213"/>
        <v>8.0000000000000003E-10</v>
      </c>
      <c r="M227" s="43">
        <f t="shared" si="214"/>
        <v>8.9999999999999999E-10</v>
      </c>
      <c r="N227" s="43">
        <f t="shared" si="215"/>
        <v>9.5000000000000003E-10</v>
      </c>
    </row>
    <row r="228" spans="1:14">
      <c r="A228" s="43" t="s">
        <v>740</v>
      </c>
      <c r="B228" s="43" t="s">
        <v>741</v>
      </c>
      <c r="C228" s="162" t="s">
        <v>215</v>
      </c>
      <c r="D228" s="43">
        <f t="shared" si="217"/>
        <v>3.1999999999999997E-9</v>
      </c>
      <c r="E228" s="43">
        <f t="shared" si="207"/>
        <v>1E-10</v>
      </c>
      <c r="F228" s="43">
        <f>$D$7*2</f>
        <v>4.0000000000000001E-10</v>
      </c>
      <c r="G228" s="43">
        <f>$E$7*1.5</f>
        <v>4.5E-10</v>
      </c>
      <c r="H228" s="43">
        <f t="shared" si="209"/>
        <v>4.0000000000000001E-10</v>
      </c>
      <c r="I228" s="43">
        <f t="shared" si="210"/>
        <v>5.0000000000000003E-10</v>
      </c>
      <c r="J228" s="43">
        <f t="shared" si="211"/>
        <v>6E-10</v>
      </c>
      <c r="K228" s="43">
        <f t="shared" si="212"/>
        <v>6.9999999999999996E-10</v>
      </c>
      <c r="L228" s="43">
        <f t="shared" si="213"/>
        <v>8.0000000000000003E-10</v>
      </c>
      <c r="M228" s="43">
        <f t="shared" si="214"/>
        <v>8.9999999999999999E-10</v>
      </c>
      <c r="N228" s="43">
        <f t="shared" si="215"/>
        <v>9.5000000000000003E-10</v>
      </c>
    </row>
    <row r="229" spans="1:14">
      <c r="A229" s="43" t="s">
        <v>743</v>
      </c>
      <c r="B229" s="43" t="s">
        <v>744</v>
      </c>
      <c r="C229" s="162" t="s">
        <v>215</v>
      </c>
      <c r="D229" s="43">
        <f t="shared" si="217"/>
        <v>3.05E-9</v>
      </c>
      <c r="E229" s="43">
        <f t="shared" si="207"/>
        <v>1E-10</v>
      </c>
      <c r="F229" s="43">
        <f>$D$7*2</f>
        <v>4.0000000000000001E-10</v>
      </c>
      <c r="G229" s="43">
        <f>$E$7</f>
        <v>3E-10</v>
      </c>
      <c r="H229" s="43">
        <f t="shared" si="209"/>
        <v>4.0000000000000001E-10</v>
      </c>
      <c r="I229" s="43">
        <f t="shared" si="210"/>
        <v>5.0000000000000003E-10</v>
      </c>
      <c r="J229" s="43">
        <f t="shared" si="211"/>
        <v>6E-10</v>
      </c>
      <c r="K229" s="43">
        <f t="shared" si="212"/>
        <v>6.9999999999999996E-10</v>
      </c>
      <c r="L229" s="43">
        <f t="shared" si="213"/>
        <v>8.0000000000000003E-10</v>
      </c>
      <c r="M229" s="43">
        <f t="shared" si="214"/>
        <v>8.9999999999999999E-10</v>
      </c>
      <c r="N229" s="43">
        <f t="shared" si="215"/>
        <v>9.5000000000000003E-10</v>
      </c>
    </row>
    <row r="230" spans="1:14">
      <c r="A230" s="43" t="s">
        <v>746</v>
      </c>
      <c r="B230" s="43" t="s">
        <v>747</v>
      </c>
      <c r="C230" s="162" t="s">
        <v>215</v>
      </c>
      <c r="D230" s="43">
        <f>SUM(E230:H230)+P205/1.5*2.5+LARGE((I230:N230),1)</f>
        <v>2.6000000000000001E-9</v>
      </c>
      <c r="E230" s="43">
        <f t="shared" si="207"/>
        <v>1E-10</v>
      </c>
      <c r="F230" s="43">
        <f>$D$7*2</f>
        <v>4.0000000000000001E-10</v>
      </c>
      <c r="G230" s="43">
        <f>$E$7*2.5</f>
        <v>7.5E-10</v>
      </c>
      <c r="H230" s="43">
        <f t="shared" si="209"/>
        <v>4.0000000000000001E-10</v>
      </c>
      <c r="I230" s="43">
        <f t="shared" si="210"/>
        <v>5.0000000000000003E-10</v>
      </c>
      <c r="J230" s="43">
        <f>IF(J211=$P$204,0,H7)</f>
        <v>0</v>
      </c>
      <c r="K230" s="43">
        <f t="shared" ref="K230:M230" si="220">IF(K211=$P$204,0,I7)</f>
        <v>6.9999999999999996E-10</v>
      </c>
      <c r="L230" s="43">
        <f t="shared" si="220"/>
        <v>8.0000000000000003E-10</v>
      </c>
      <c r="M230" s="43">
        <f t="shared" si="220"/>
        <v>8.9999999999999999E-10</v>
      </c>
      <c r="N230" s="43">
        <f t="shared" si="215"/>
        <v>9.5000000000000003E-10</v>
      </c>
    </row>
    <row r="231" spans="1:14">
      <c r="A231" s="43" t="s">
        <v>749</v>
      </c>
      <c r="B231" s="43" t="s">
        <v>750</v>
      </c>
      <c r="C231" s="162" t="s">
        <v>215</v>
      </c>
      <c r="D231" s="43">
        <f>SUM(E231:H231)+LARGE((I231:N231),1)+LARGE((I231:N231),2)</f>
        <v>2.8499999999999999E-9</v>
      </c>
      <c r="E231" s="43">
        <f t="shared" si="207"/>
        <v>1E-10</v>
      </c>
      <c r="F231" s="43">
        <f>$D$7</f>
        <v>2.0000000000000001E-10</v>
      </c>
      <c r="G231" s="43">
        <f>$E$7</f>
        <v>3E-10</v>
      </c>
      <c r="H231" s="43">
        <f t="shared" si="209"/>
        <v>4.0000000000000001E-10</v>
      </c>
      <c r="I231" s="43">
        <f t="shared" si="210"/>
        <v>5.0000000000000003E-10</v>
      </c>
      <c r="J231" s="43">
        <f t="shared" si="211"/>
        <v>6E-10</v>
      </c>
      <c r="K231" s="43">
        <f t="shared" si="212"/>
        <v>6.9999999999999996E-10</v>
      </c>
      <c r="L231" s="43">
        <f t="shared" si="213"/>
        <v>8.0000000000000003E-10</v>
      </c>
      <c r="M231" s="43">
        <f t="shared" si="214"/>
        <v>8.9999999999999999E-10</v>
      </c>
      <c r="N231" s="43">
        <f t="shared" si="215"/>
        <v>9.5000000000000003E-10</v>
      </c>
    </row>
    <row r="232" spans="1:14">
      <c r="A232" s="43" t="s">
        <v>751</v>
      </c>
      <c r="B232" s="43" t="s">
        <v>752</v>
      </c>
      <c r="C232" s="162" t="s">
        <v>215</v>
      </c>
      <c r="D232" s="43">
        <f t="shared" si="217"/>
        <v>3.3500000000000002E-9</v>
      </c>
      <c r="E232" s="43">
        <f t="shared" si="207"/>
        <v>1E-10</v>
      </c>
      <c r="F232" s="43">
        <f t="shared" ref="F232:F237" si="221">$D$7*2</f>
        <v>4.0000000000000001E-10</v>
      </c>
      <c r="G232" s="43">
        <f>$E$7*2</f>
        <v>6E-10</v>
      </c>
      <c r="H232" s="43">
        <f t="shared" si="209"/>
        <v>4.0000000000000001E-10</v>
      </c>
      <c r="I232" s="43">
        <f t="shared" si="210"/>
        <v>5.0000000000000003E-10</v>
      </c>
      <c r="J232" s="43">
        <f t="shared" si="211"/>
        <v>6E-10</v>
      </c>
      <c r="K232" s="43">
        <f t="shared" si="212"/>
        <v>6.9999999999999996E-10</v>
      </c>
      <c r="L232" s="43">
        <f t="shared" si="213"/>
        <v>8.0000000000000003E-10</v>
      </c>
      <c r="M232" s="43">
        <f t="shared" si="214"/>
        <v>8.9999999999999999E-10</v>
      </c>
      <c r="N232" s="43">
        <f t="shared" si="215"/>
        <v>9.5000000000000003E-10</v>
      </c>
    </row>
    <row r="233" spans="1:14">
      <c r="A233" s="43" t="s">
        <v>754</v>
      </c>
      <c r="B233" s="43" t="s">
        <v>755</v>
      </c>
      <c r="C233" s="162" t="s">
        <v>215</v>
      </c>
      <c r="D233" s="43">
        <f t="shared" si="217"/>
        <v>3.3500000000000002E-9</v>
      </c>
      <c r="E233" s="43">
        <f t="shared" si="207"/>
        <v>1E-10</v>
      </c>
      <c r="F233" s="43">
        <f t="shared" si="221"/>
        <v>4.0000000000000001E-10</v>
      </c>
      <c r="G233" s="43">
        <f>$E$7*2</f>
        <v>6E-10</v>
      </c>
      <c r="H233" s="43">
        <f t="shared" si="209"/>
        <v>4.0000000000000001E-10</v>
      </c>
      <c r="I233" s="43">
        <f t="shared" si="210"/>
        <v>5.0000000000000003E-10</v>
      </c>
      <c r="J233" s="43">
        <f t="shared" si="211"/>
        <v>6E-10</v>
      </c>
      <c r="K233" s="43">
        <f t="shared" si="212"/>
        <v>6.9999999999999996E-10</v>
      </c>
      <c r="L233" s="43">
        <f t="shared" si="213"/>
        <v>8.0000000000000003E-10</v>
      </c>
      <c r="M233" s="43">
        <f t="shared" si="214"/>
        <v>8.9999999999999999E-10</v>
      </c>
      <c r="N233" s="43">
        <f t="shared" si="215"/>
        <v>9.5000000000000003E-10</v>
      </c>
    </row>
    <row r="234" spans="1:14">
      <c r="A234" s="43" t="s">
        <v>757</v>
      </c>
      <c r="B234" s="43" t="s">
        <v>758</v>
      </c>
      <c r="C234" s="162" t="s">
        <v>215</v>
      </c>
      <c r="D234" s="43">
        <f t="shared" si="217"/>
        <v>3.3500000000000002E-9</v>
      </c>
      <c r="E234" s="43">
        <f t="shared" si="207"/>
        <v>1E-10</v>
      </c>
      <c r="F234" s="43">
        <f t="shared" si="221"/>
        <v>4.0000000000000001E-10</v>
      </c>
      <c r="G234" s="43">
        <f>$E$7*2</f>
        <v>6E-10</v>
      </c>
      <c r="H234" s="43">
        <f t="shared" si="209"/>
        <v>4.0000000000000001E-10</v>
      </c>
      <c r="I234" s="43">
        <f t="shared" si="210"/>
        <v>5.0000000000000003E-10</v>
      </c>
      <c r="J234" s="43">
        <f t="shared" si="211"/>
        <v>6E-10</v>
      </c>
      <c r="K234" s="43">
        <f t="shared" si="212"/>
        <v>6.9999999999999996E-10</v>
      </c>
      <c r="L234" s="43">
        <f t="shared" si="213"/>
        <v>8.0000000000000003E-10</v>
      </c>
      <c r="M234" s="43">
        <f t="shared" si="214"/>
        <v>8.9999999999999999E-10</v>
      </c>
      <c r="N234" s="43">
        <f t="shared" si="215"/>
        <v>9.5000000000000003E-10</v>
      </c>
    </row>
    <row r="235" spans="1:14">
      <c r="A235" s="43" t="s">
        <v>760</v>
      </c>
      <c r="B235" s="43" t="s">
        <v>761</v>
      </c>
      <c r="C235" s="162" t="s">
        <v>844</v>
      </c>
      <c r="D235" s="43">
        <f>SUM(E235:F235)+LARGE((G235:N235),1)+LARGE((G235:N235),2)+LARGE((G235:N235),3)</f>
        <v>3.1500000000000005E-9</v>
      </c>
      <c r="E235" s="43">
        <f t="shared" si="207"/>
        <v>1E-10</v>
      </c>
      <c r="F235" s="43">
        <f t="shared" si="221"/>
        <v>4.0000000000000001E-10</v>
      </c>
      <c r="G235" s="43">
        <f t="shared" ref="G235:G253" si="222">$E$7</f>
        <v>3E-10</v>
      </c>
      <c r="H235" s="43">
        <f t="shared" si="209"/>
        <v>4.0000000000000001E-10</v>
      </c>
      <c r="I235" s="43">
        <f t="shared" si="210"/>
        <v>5.0000000000000003E-10</v>
      </c>
      <c r="J235" s="43">
        <f t="shared" si="211"/>
        <v>6E-10</v>
      </c>
      <c r="K235" s="43">
        <f t="shared" si="212"/>
        <v>6.9999999999999996E-10</v>
      </c>
      <c r="L235" s="43">
        <f t="shared" si="213"/>
        <v>8.0000000000000003E-10</v>
      </c>
      <c r="M235" s="43">
        <f t="shared" si="214"/>
        <v>8.9999999999999999E-10</v>
      </c>
      <c r="N235" s="43">
        <f t="shared" si="215"/>
        <v>9.5000000000000003E-10</v>
      </c>
    </row>
    <row r="236" spans="1:14">
      <c r="A236" s="43" t="s">
        <v>763</v>
      </c>
      <c r="B236" s="43" t="s">
        <v>764</v>
      </c>
      <c r="C236" s="162" t="s">
        <v>844</v>
      </c>
      <c r="D236" s="43">
        <f>SUM(E236:F236)+LARGE((G236:N236),1)+LARGE((G236:N236),2)+LARGE((G236:N236),3)</f>
        <v>3.1500000000000005E-9</v>
      </c>
      <c r="E236" s="43">
        <f t="shared" si="207"/>
        <v>1E-10</v>
      </c>
      <c r="F236" s="43">
        <f t="shared" si="221"/>
        <v>4.0000000000000001E-10</v>
      </c>
      <c r="G236" s="43">
        <f t="shared" si="222"/>
        <v>3E-10</v>
      </c>
      <c r="H236" s="43">
        <f t="shared" si="209"/>
        <v>4.0000000000000001E-10</v>
      </c>
      <c r="I236" s="43">
        <f t="shared" si="210"/>
        <v>5.0000000000000003E-10</v>
      </c>
      <c r="J236" s="43">
        <f t="shared" si="211"/>
        <v>6E-10</v>
      </c>
      <c r="K236" s="43">
        <f t="shared" si="212"/>
        <v>6.9999999999999996E-10</v>
      </c>
      <c r="L236" s="43">
        <f t="shared" si="213"/>
        <v>8.0000000000000003E-10</v>
      </c>
      <c r="M236" s="43">
        <f t="shared" si="214"/>
        <v>8.9999999999999999E-10</v>
      </c>
      <c r="N236" s="43">
        <f t="shared" si="215"/>
        <v>9.5000000000000003E-10</v>
      </c>
    </row>
    <row r="237" spans="1:14">
      <c r="A237" s="43" t="s">
        <v>766</v>
      </c>
      <c r="B237" s="43" t="s">
        <v>767</v>
      </c>
      <c r="C237" s="162" t="s">
        <v>215</v>
      </c>
      <c r="D237" s="43">
        <f t="shared" si="217"/>
        <v>3.2500000000000002E-9</v>
      </c>
      <c r="E237" s="43">
        <f t="shared" si="207"/>
        <v>1E-10</v>
      </c>
      <c r="F237" s="43">
        <f t="shared" si="221"/>
        <v>4.0000000000000001E-10</v>
      </c>
      <c r="G237" s="43">
        <f t="shared" si="222"/>
        <v>3E-10</v>
      </c>
      <c r="H237" s="43">
        <f>$F$7*1.5</f>
        <v>6E-10</v>
      </c>
      <c r="I237" s="43">
        <f t="shared" si="210"/>
        <v>5.0000000000000003E-10</v>
      </c>
      <c r="J237" s="43">
        <f t="shared" si="211"/>
        <v>6E-10</v>
      </c>
      <c r="K237" s="43">
        <f t="shared" si="212"/>
        <v>6.9999999999999996E-10</v>
      </c>
      <c r="L237" s="43">
        <f t="shared" si="213"/>
        <v>8.0000000000000003E-10</v>
      </c>
      <c r="M237" s="43">
        <f t="shared" si="214"/>
        <v>8.9999999999999999E-10</v>
      </c>
      <c r="N237" s="43">
        <f t="shared" si="215"/>
        <v>9.5000000000000003E-10</v>
      </c>
    </row>
    <row r="238" spans="1:14">
      <c r="A238" s="43" t="s">
        <v>769</v>
      </c>
      <c r="B238" s="43" t="s">
        <v>770</v>
      </c>
      <c r="C238" s="162" t="s">
        <v>215</v>
      </c>
      <c r="D238" s="43">
        <f>SUM(E238:H238)+LARGE((I238:N238),1)+LARGE((I238:N238),2)</f>
        <v>3.3500000000000002E-9</v>
      </c>
      <c r="E238" s="43">
        <f>$C$7*2</f>
        <v>2.0000000000000001E-10</v>
      </c>
      <c r="F238" s="43">
        <f>$D$7*2</f>
        <v>4.0000000000000001E-10</v>
      </c>
      <c r="G238" s="43">
        <f t="shared" si="222"/>
        <v>3E-10</v>
      </c>
      <c r="H238" s="43">
        <f>$F$7*1.5</f>
        <v>6E-10</v>
      </c>
      <c r="I238" s="43">
        <f t="shared" si="210"/>
        <v>5.0000000000000003E-10</v>
      </c>
      <c r="J238" s="43">
        <f>IF(OR(H1="中國歷史",H1="中國文學",H1="歷史",H1="視覺藝術"),H7*1.5,H7)</f>
        <v>6E-10</v>
      </c>
      <c r="K238" s="43">
        <f>IF(OR(I1="中國歷史",I1="中國文學",I1="歷史",I1="視覺藝術"),I7*1.5,I7)</f>
        <v>6.9999999999999996E-10</v>
      </c>
      <c r="L238" s="43">
        <f>IF(OR(J1="中國歷史",J1="中國文學",J1="歷史",J1="視覺藝術"),J7*1.5,J7)</f>
        <v>8.0000000000000003E-10</v>
      </c>
      <c r="M238" s="43">
        <f>IF(OR(K1="中國歷史",K1="中國文學",K1="歷史",K1="視覺藝術"),K7*1.5,K7)</f>
        <v>8.9999999999999999E-10</v>
      </c>
      <c r="N238" s="43">
        <f t="shared" si="215"/>
        <v>9.5000000000000003E-10</v>
      </c>
    </row>
    <row r="239" spans="1:14">
      <c r="A239" s="43" t="s">
        <v>772</v>
      </c>
      <c r="B239" s="43" t="s">
        <v>773</v>
      </c>
      <c r="C239" s="162" t="s">
        <v>215</v>
      </c>
      <c r="D239" s="43">
        <f>SUM(E239:H239)+LARGE((I239:N239),1)+LARGE((I239:N239),2)</f>
        <v>3.3500000000000002E-9</v>
      </c>
      <c r="E239" s="43">
        <f t="shared" si="207"/>
        <v>1E-10</v>
      </c>
      <c r="F239" s="43">
        <f>$D$7*2.5</f>
        <v>5.0000000000000003E-10</v>
      </c>
      <c r="G239" s="43">
        <f t="shared" si="222"/>
        <v>3E-10</v>
      </c>
      <c r="H239" s="43">
        <f>$F$7*1.5</f>
        <v>6E-10</v>
      </c>
      <c r="I239" s="43">
        <f t="shared" si="210"/>
        <v>5.0000000000000003E-10</v>
      </c>
      <c r="J239" s="43">
        <f>IF(OR(H1="英語文學"),H7*1.5,H7)</f>
        <v>6E-10</v>
      </c>
      <c r="K239" s="43">
        <f>IF(OR(I1="英語文學"),I7*1.5,I7)</f>
        <v>6.9999999999999996E-10</v>
      </c>
      <c r="L239" s="43">
        <f>IF(OR(J1="英語文學"),J7*1.5,J7)</f>
        <v>8.0000000000000003E-10</v>
      </c>
      <c r="M239" s="43">
        <f>IF(OR(K1="英語文學"),K7*1.5,K7)</f>
        <v>8.9999999999999999E-10</v>
      </c>
      <c r="N239" s="43">
        <f t="shared" si="215"/>
        <v>9.5000000000000003E-10</v>
      </c>
    </row>
    <row r="240" spans="1:14">
      <c r="A240" s="43" t="s">
        <v>775</v>
      </c>
      <c r="B240" s="43" t="s">
        <v>776</v>
      </c>
      <c r="C240" s="162" t="s">
        <v>215</v>
      </c>
      <c r="D240" s="43">
        <f t="shared" si="217"/>
        <v>3.0999999999999996E-9</v>
      </c>
      <c r="E240" s="43">
        <f>$C$7*1.5</f>
        <v>1.5E-10</v>
      </c>
      <c r="F240" s="43">
        <f>$D$7*2</f>
        <v>4.0000000000000001E-10</v>
      </c>
      <c r="G240" s="43">
        <f t="shared" si="222"/>
        <v>3E-10</v>
      </c>
      <c r="H240" s="43">
        <f>$F$7</f>
        <v>4.0000000000000001E-10</v>
      </c>
      <c r="I240" s="43">
        <f t="shared" si="210"/>
        <v>5.0000000000000003E-10</v>
      </c>
      <c r="J240" s="43">
        <f t="shared" si="211"/>
        <v>6E-10</v>
      </c>
      <c r="K240" s="43">
        <f t="shared" si="212"/>
        <v>6.9999999999999996E-10</v>
      </c>
      <c r="L240" s="43">
        <f t="shared" si="213"/>
        <v>8.0000000000000003E-10</v>
      </c>
      <c r="M240" s="43">
        <f t="shared" si="214"/>
        <v>8.9999999999999999E-10</v>
      </c>
      <c r="N240" s="43">
        <f t="shared" si="215"/>
        <v>9.5000000000000003E-10</v>
      </c>
    </row>
    <row r="241" spans="1:16">
      <c r="A241" s="43" t="s">
        <v>778</v>
      </c>
      <c r="B241" s="43" t="s">
        <v>779</v>
      </c>
      <c r="C241" s="162" t="s">
        <v>82</v>
      </c>
      <c r="D241" s="43">
        <f>LARGE((E241:N241),1)+LARGE((E241:N241),2)+LARGE((E241:N241),3)+LARGE((E241:N241),4)+LARGE((E241:N241),5)</f>
        <v>3.9500000000000006E-9</v>
      </c>
      <c r="E241" s="43">
        <f>$C$7*1.25</f>
        <v>1.2500000000000001E-10</v>
      </c>
      <c r="F241" s="43">
        <f>$D$7*1.25</f>
        <v>2.5000000000000002E-10</v>
      </c>
      <c r="G241" s="43">
        <f t="shared" si="222"/>
        <v>3E-10</v>
      </c>
      <c r="H241" s="43">
        <f>$F$7</f>
        <v>4.0000000000000001E-10</v>
      </c>
      <c r="I241" s="43">
        <f t="shared" si="210"/>
        <v>5.0000000000000003E-10</v>
      </c>
      <c r="J241" s="43">
        <f t="shared" si="211"/>
        <v>6E-10</v>
      </c>
      <c r="K241" s="43">
        <f t="shared" si="212"/>
        <v>6.9999999999999996E-10</v>
      </c>
      <c r="L241" s="43">
        <f t="shared" si="213"/>
        <v>8.0000000000000003E-10</v>
      </c>
      <c r="M241" s="43">
        <f t="shared" si="214"/>
        <v>8.9999999999999999E-10</v>
      </c>
      <c r="N241" s="43">
        <f t="shared" si="215"/>
        <v>9.5000000000000003E-10</v>
      </c>
    </row>
    <row r="242" spans="1:16">
      <c r="A242" s="43" t="s">
        <v>781</v>
      </c>
      <c r="B242" s="43" t="s">
        <v>782</v>
      </c>
      <c r="C242" s="162" t="s">
        <v>215</v>
      </c>
      <c r="D242" s="43">
        <f t="shared" si="217"/>
        <v>3.2500000000000002E-9</v>
      </c>
      <c r="E242" s="43">
        <f t="shared" ref="E242:E262" si="223">$C$7</f>
        <v>1E-10</v>
      </c>
      <c r="F242" s="43">
        <f>$D$7*2</f>
        <v>4.0000000000000001E-10</v>
      </c>
      <c r="G242" s="43">
        <f t="shared" si="222"/>
        <v>3E-10</v>
      </c>
      <c r="H242" s="43">
        <f>$F$7*1.5</f>
        <v>6E-10</v>
      </c>
      <c r="I242" s="43">
        <f t="shared" si="210"/>
        <v>5.0000000000000003E-10</v>
      </c>
      <c r="J242" s="43">
        <f t="shared" si="211"/>
        <v>6E-10</v>
      </c>
      <c r="K242" s="43">
        <f t="shared" si="212"/>
        <v>6.9999999999999996E-10</v>
      </c>
      <c r="L242" s="43">
        <f t="shared" si="213"/>
        <v>8.0000000000000003E-10</v>
      </c>
      <c r="M242" s="43">
        <f t="shared" si="214"/>
        <v>8.9999999999999999E-10</v>
      </c>
      <c r="N242" s="43">
        <f t="shared" si="215"/>
        <v>9.5000000000000003E-10</v>
      </c>
    </row>
    <row r="243" spans="1:16">
      <c r="A243" s="43" t="s">
        <v>784</v>
      </c>
      <c r="B243" s="43" t="s">
        <v>785</v>
      </c>
      <c r="C243" s="162" t="s">
        <v>215</v>
      </c>
      <c r="D243" s="43">
        <f t="shared" si="217"/>
        <v>3.05E-9</v>
      </c>
      <c r="E243" s="43">
        <f t="shared" si="223"/>
        <v>1E-10</v>
      </c>
      <c r="F243" s="43">
        <f>$D$7*2</f>
        <v>4.0000000000000001E-10</v>
      </c>
      <c r="G243" s="43">
        <f t="shared" si="222"/>
        <v>3E-10</v>
      </c>
      <c r="H243" s="43">
        <f t="shared" ref="H243:H262" si="224">$F$7</f>
        <v>4.0000000000000001E-10</v>
      </c>
      <c r="I243" s="43">
        <f t="shared" si="210"/>
        <v>5.0000000000000003E-10</v>
      </c>
      <c r="J243" s="43">
        <f t="shared" si="211"/>
        <v>6E-10</v>
      </c>
      <c r="K243" s="43">
        <f t="shared" si="212"/>
        <v>6.9999999999999996E-10</v>
      </c>
      <c r="L243" s="43">
        <f t="shared" si="213"/>
        <v>8.0000000000000003E-10</v>
      </c>
      <c r="M243" s="43">
        <f t="shared" si="214"/>
        <v>8.9999999999999999E-10</v>
      </c>
      <c r="N243" s="43">
        <f t="shared" si="215"/>
        <v>9.5000000000000003E-10</v>
      </c>
    </row>
    <row r="244" spans="1:16">
      <c r="A244" s="43" t="s">
        <v>787</v>
      </c>
      <c r="B244" s="43" t="s">
        <v>788</v>
      </c>
      <c r="C244" s="162" t="s">
        <v>215</v>
      </c>
      <c r="D244" s="43" t="s">
        <v>393</v>
      </c>
      <c r="E244" s="43">
        <f t="shared" si="223"/>
        <v>1E-10</v>
      </c>
      <c r="F244" s="43">
        <f>$D$7</f>
        <v>2.0000000000000001E-10</v>
      </c>
      <c r="G244" s="43">
        <f t="shared" si="222"/>
        <v>3E-10</v>
      </c>
      <c r="H244" s="43">
        <f t="shared" si="224"/>
        <v>4.0000000000000001E-10</v>
      </c>
      <c r="I244" s="43">
        <f t="shared" ref="I244:I262" si="225">$G$7</f>
        <v>5.0000000000000003E-10</v>
      </c>
      <c r="J244" s="43">
        <f t="shared" ref="J244:J262" si="226">$H$7</f>
        <v>6E-10</v>
      </c>
      <c r="K244" s="43">
        <f t="shared" ref="K244:K262" si="227">$I$7</f>
        <v>6.9999999999999996E-10</v>
      </c>
      <c r="L244" s="43">
        <f t="shared" ref="L244:L262" si="228">$J$7</f>
        <v>8.0000000000000003E-10</v>
      </c>
      <c r="M244" s="43">
        <f t="shared" ref="M244:M262" si="229">$K$7</f>
        <v>8.9999999999999999E-10</v>
      </c>
      <c r="N244" s="43">
        <f t="shared" ref="N244:N262" si="230">$L$7</f>
        <v>9.5000000000000003E-10</v>
      </c>
    </row>
    <row r="245" spans="1:16">
      <c r="A245" s="43" t="s">
        <v>790</v>
      </c>
      <c r="B245" s="43" t="s">
        <v>791</v>
      </c>
      <c r="C245" s="162" t="s">
        <v>215</v>
      </c>
      <c r="D245" s="43" t="s">
        <v>393</v>
      </c>
      <c r="E245" s="43">
        <f t="shared" si="223"/>
        <v>1E-10</v>
      </c>
      <c r="F245" s="43">
        <f>$D$7</f>
        <v>2.0000000000000001E-10</v>
      </c>
      <c r="G245" s="43">
        <f t="shared" si="222"/>
        <v>3E-10</v>
      </c>
      <c r="H245" s="43">
        <f t="shared" si="224"/>
        <v>4.0000000000000001E-10</v>
      </c>
      <c r="I245" s="43">
        <f t="shared" si="225"/>
        <v>5.0000000000000003E-10</v>
      </c>
      <c r="J245" s="43">
        <f t="shared" si="226"/>
        <v>6E-10</v>
      </c>
      <c r="K245" s="43">
        <f t="shared" si="227"/>
        <v>6.9999999999999996E-10</v>
      </c>
      <c r="L245" s="43">
        <f t="shared" si="228"/>
        <v>8.0000000000000003E-10</v>
      </c>
      <c r="M245" s="43">
        <f t="shared" si="229"/>
        <v>8.9999999999999999E-10</v>
      </c>
      <c r="N245" s="43">
        <f t="shared" si="230"/>
        <v>9.5000000000000003E-10</v>
      </c>
    </row>
    <row r="246" spans="1:16">
      <c r="A246" s="43" t="s">
        <v>793</v>
      </c>
      <c r="B246" s="43" t="s">
        <v>794</v>
      </c>
      <c r="C246" s="162" t="s">
        <v>215</v>
      </c>
      <c r="D246" s="43" t="s">
        <v>393</v>
      </c>
      <c r="E246" s="43">
        <f t="shared" si="223"/>
        <v>1E-10</v>
      </c>
      <c r="F246" s="43">
        <f>$D$7</f>
        <v>2.0000000000000001E-10</v>
      </c>
      <c r="G246" s="43">
        <f t="shared" si="222"/>
        <v>3E-10</v>
      </c>
      <c r="H246" s="43">
        <f t="shared" si="224"/>
        <v>4.0000000000000001E-10</v>
      </c>
      <c r="I246" s="43">
        <f t="shared" si="225"/>
        <v>5.0000000000000003E-10</v>
      </c>
      <c r="J246" s="43">
        <f t="shared" si="226"/>
        <v>6E-10</v>
      </c>
      <c r="K246" s="43">
        <f t="shared" si="227"/>
        <v>6.9999999999999996E-10</v>
      </c>
      <c r="L246" s="43">
        <f t="shared" si="228"/>
        <v>8.0000000000000003E-10</v>
      </c>
      <c r="M246" s="43">
        <f t="shared" si="229"/>
        <v>8.9999999999999999E-10</v>
      </c>
      <c r="N246" s="43">
        <f t="shared" si="230"/>
        <v>9.5000000000000003E-10</v>
      </c>
    </row>
    <row r="247" spans="1:16">
      <c r="A247" s="43" t="s">
        <v>796</v>
      </c>
      <c r="B247" s="43" t="s">
        <v>797</v>
      </c>
      <c r="C247" s="162" t="s">
        <v>215</v>
      </c>
      <c r="D247" s="43">
        <f t="shared" si="217"/>
        <v>3.1999999999999997E-9</v>
      </c>
      <c r="E247" s="43">
        <f t="shared" si="223"/>
        <v>1E-10</v>
      </c>
      <c r="F247" s="43">
        <f>$D$7*2</f>
        <v>4.0000000000000001E-10</v>
      </c>
      <c r="G247" s="43">
        <f>$E$7*1.5</f>
        <v>4.5E-10</v>
      </c>
      <c r="H247" s="43">
        <f t="shared" si="224"/>
        <v>4.0000000000000001E-10</v>
      </c>
      <c r="I247" s="43">
        <f t="shared" si="225"/>
        <v>5.0000000000000003E-10</v>
      </c>
      <c r="J247" s="43">
        <f>IF(H1="化學",H7*2,IF(OR(H1="組合科學 (物理、化學)",H1="組合科學 (生物、化學)"),H7*1.5,H7))</f>
        <v>6E-10</v>
      </c>
      <c r="K247" s="43">
        <f>IF(I1="化學",I7*2,IF(OR(I1="組合科學 (物理、化學)",I1="組合科學 (生物、化學)"),I7*1.5,I7))</f>
        <v>6.9999999999999996E-10</v>
      </c>
      <c r="L247" s="43">
        <f>IF(J1="化學",J7*2,IF(OR(J1="組合科學 (物理、化學)",J1="組合科學 (生物、化學)"),J7*1.5,J7))</f>
        <v>8.0000000000000003E-10</v>
      </c>
      <c r="M247" s="43">
        <f>IF(K1="化學",K7*2,IF(OR(K1="組合科學 (物理、化學)",K1="組合科學 (生物、化學)"),K7*1.5,K7))</f>
        <v>8.9999999999999999E-10</v>
      </c>
      <c r="N247" s="43">
        <f t="shared" si="230"/>
        <v>9.5000000000000003E-10</v>
      </c>
    </row>
    <row r="248" spans="1:16">
      <c r="A248" s="43" t="s">
        <v>799</v>
      </c>
      <c r="B248" s="43" t="s">
        <v>800</v>
      </c>
      <c r="C248" s="162" t="s">
        <v>215</v>
      </c>
      <c r="D248" s="43">
        <f t="shared" si="217"/>
        <v>3.05E-9</v>
      </c>
      <c r="E248" s="43">
        <f t="shared" si="223"/>
        <v>1E-10</v>
      </c>
      <c r="F248" s="43">
        <f t="shared" ref="F248:F255" si="231">$D$7*2</f>
        <v>4.0000000000000001E-10</v>
      </c>
      <c r="G248" s="43">
        <f t="shared" si="222"/>
        <v>3E-10</v>
      </c>
      <c r="H248" s="43">
        <f t="shared" si="224"/>
        <v>4.0000000000000001E-10</v>
      </c>
      <c r="I248" s="43">
        <f t="shared" si="225"/>
        <v>5.0000000000000003E-10</v>
      </c>
      <c r="J248" s="43">
        <f t="shared" si="226"/>
        <v>6E-10</v>
      </c>
      <c r="K248" s="43">
        <f t="shared" si="227"/>
        <v>6.9999999999999996E-10</v>
      </c>
      <c r="L248" s="43">
        <f t="shared" si="228"/>
        <v>8.0000000000000003E-10</v>
      </c>
      <c r="M248" s="43">
        <f t="shared" si="229"/>
        <v>8.9999999999999999E-10</v>
      </c>
      <c r="N248" s="43">
        <f t="shared" si="230"/>
        <v>9.5000000000000003E-10</v>
      </c>
    </row>
    <row r="249" spans="1:16">
      <c r="A249" s="43" t="s">
        <v>802</v>
      </c>
      <c r="B249" s="43" t="s">
        <v>803</v>
      </c>
      <c r="C249" s="162" t="s">
        <v>215</v>
      </c>
      <c r="D249" s="43">
        <f>SUM(E249:H249)+LARGE((I249:N249),1)+LARGE((I249:N249),2)</f>
        <v>3.4500000000000003E-9</v>
      </c>
      <c r="E249" s="43">
        <f t="shared" si="223"/>
        <v>1E-10</v>
      </c>
      <c r="F249" s="43">
        <f t="shared" si="231"/>
        <v>4.0000000000000001E-10</v>
      </c>
      <c r="G249" s="43">
        <f>$E$7*2</f>
        <v>6E-10</v>
      </c>
      <c r="H249" s="43">
        <f t="shared" si="224"/>
        <v>4.0000000000000001E-10</v>
      </c>
      <c r="I249" s="43">
        <f>$G$7*2</f>
        <v>1.0000000000000001E-9</v>
      </c>
      <c r="J249" s="43">
        <f>IF(OR(H1="組合科學(物理、化學)",H1="組合科學(物理、生物)",H1="物理",H1="資訊及通訊科技"),H7*2,IF(OR(H1="組合科學(生物、化學)",H1="生物",H1="化學",H1="綜合科學"),H7*1.5,H7))</f>
        <v>6E-10</v>
      </c>
      <c r="K249" s="43">
        <f>IF(OR(I1="組合科學(物理、化學)",I1="組合科學(物理、生物)",I1="物理",I1="資訊及通訊科技"),I7*2,IF(OR(I1="組合科學(生物、化學)",I1="生物",I1="化學",I1="綜合科學"),I7*1.5,I7))</f>
        <v>6.9999999999999996E-10</v>
      </c>
      <c r="L249" s="43">
        <f>IF(OR(J1="組合科學(物理、化學)",J1="組合科學(物理、生物)",J1="物理",J1="資訊及通訊科技"),J7*2,IF(OR(J1="組合科學(生物、化學)",J1="生物",J1="化學",J1="綜合科學"),J7*1.5,J7))</f>
        <v>8.0000000000000003E-10</v>
      </c>
      <c r="M249" s="43">
        <f>IF(OR(K1="組合科學(物理、化學)",K1="組合科學(物理、生物)",K1="物理",K1="資訊及通訊科技"),K7*2,IF(OR(K1="組合科學(生物、化學)",K1="生物",K1="化學",K1="綜合科學"),K7*1.5,K7))</f>
        <v>8.9999999999999999E-10</v>
      </c>
      <c r="N249" s="43">
        <f t="shared" si="230"/>
        <v>9.5000000000000003E-10</v>
      </c>
    </row>
    <row r="250" spans="1:16">
      <c r="A250" s="43" t="s">
        <v>805</v>
      </c>
      <c r="B250" s="43" t="s">
        <v>806</v>
      </c>
      <c r="C250" s="162" t="s">
        <v>215</v>
      </c>
      <c r="D250" s="43">
        <f t="shared" si="217"/>
        <v>3.6E-9</v>
      </c>
      <c r="E250" s="43">
        <f>$C$7</f>
        <v>1E-10</v>
      </c>
      <c r="F250" s="43">
        <f t="shared" si="231"/>
        <v>4.0000000000000001E-10</v>
      </c>
      <c r="G250" s="43">
        <f>$E$7*2.5</f>
        <v>7.5E-10</v>
      </c>
      <c r="H250" s="43">
        <f t="shared" si="224"/>
        <v>4.0000000000000001E-10</v>
      </c>
      <c r="I250" s="43">
        <f>$G$7*2</f>
        <v>1.0000000000000001E-9</v>
      </c>
      <c r="J250" s="43">
        <f>IF(OR(H1="物理",H1="化學",H1="組合科學 (物理、化學)",H1="組合科學 (生物、化學)",H1="組合科學 (物理、生物)"),H7*1.5,H7)</f>
        <v>6E-10</v>
      </c>
      <c r="K250" s="43">
        <f>IF(OR(I1="物理",I1="化學",I1="組合科學 (物理、化學)",I1="組合科學 (生物、化學)",I1="組合科學 (物理、生物)"),I7*1.5,I7)</f>
        <v>6.9999999999999996E-10</v>
      </c>
      <c r="L250" s="43">
        <f>IF(OR(J1="物理",J1="化學",J1="組合科學 (物理、化學)",J1="組合科學 (生物、化學)",J1="組合科學 (物理、生物)"),J7*1.5,J7)</f>
        <v>8.0000000000000003E-10</v>
      </c>
      <c r="M250" s="43">
        <f>IF(OR(K1="物理",K1="化學",K1="組合科學 (物理、化學)",K1="組合科學 (生物、化學)",K1="組合科學 (物理、生物)"),K7*1.5,K7)</f>
        <v>8.9999999999999999E-10</v>
      </c>
      <c r="N250" s="43">
        <f t="shared" si="230"/>
        <v>9.5000000000000003E-10</v>
      </c>
    </row>
    <row r="251" spans="1:16">
      <c r="A251" s="43" t="s">
        <v>808</v>
      </c>
      <c r="B251" s="43" t="s">
        <v>809</v>
      </c>
      <c r="C251" s="162" t="s">
        <v>215</v>
      </c>
      <c r="D251" s="43">
        <f>SUM(E251:H251)+LARGE((I251:N251),1)+LARGE((I251:N251),2)</f>
        <v>3.3500000000000002E-9</v>
      </c>
      <c r="E251" s="43">
        <f t="shared" si="223"/>
        <v>1E-10</v>
      </c>
      <c r="F251" s="43">
        <f t="shared" si="231"/>
        <v>4.0000000000000001E-10</v>
      </c>
      <c r="G251" s="43">
        <f>$E$7*2</f>
        <v>6E-10</v>
      </c>
      <c r="H251" s="43">
        <f t="shared" si="224"/>
        <v>4.0000000000000001E-10</v>
      </c>
      <c r="I251" s="43">
        <f>$G$7*1.5</f>
        <v>7.500000000000001E-10</v>
      </c>
      <c r="J251" s="43">
        <f>IF(H1="物理",H7*2,IF(OR(H1="化學",H1="組合科學 (物理、化學)",H1="組合科學 (生物、化學)",H1="組合科學 (物理、生物)",H1="設計與生活"),H7*1.5,H7))</f>
        <v>6E-10</v>
      </c>
      <c r="K251" s="43">
        <f>IF(I1="物理",I7*2,IF(OR(I1="化學",I1="組合科學 (物理、化學)",I1="組合科學 (生物、化學)",I1="組合科學 (物理、生物)",I1="設計與生活"),I7*1.5,I7))</f>
        <v>6.9999999999999996E-10</v>
      </c>
      <c r="L251" s="43">
        <f>IF(J1="物理",J7*2,IF(OR(J1="化學",J1="組合科學 (物理、化學)",J1="組合科學 (生物、化學)",J1="組合科學 (物理、生物)",J1="設計與生活"),J7*1.5,J7))</f>
        <v>8.0000000000000003E-10</v>
      </c>
      <c r="M251" s="43">
        <f>IF(K1="物理",K7*2,IF(OR(K1="化學",K1="組合科學 (物理、化學)",K1="組合科學 (生物、化學)",K1="組合科學 (物理、生物)",K1="設計與生活"),K7*1.5,K7))</f>
        <v>8.9999999999999999E-10</v>
      </c>
      <c r="N251" s="43">
        <f t="shared" si="230"/>
        <v>9.5000000000000003E-10</v>
      </c>
    </row>
    <row r="252" spans="1:16">
      <c r="A252" s="43" t="s">
        <v>811</v>
      </c>
      <c r="B252" s="43" t="s">
        <v>812</v>
      </c>
      <c r="C252" s="162" t="s">
        <v>215</v>
      </c>
      <c r="D252" s="43">
        <f t="shared" si="217"/>
        <v>3.1249999999999999E-9</v>
      </c>
      <c r="E252" s="43">
        <f t="shared" si="223"/>
        <v>1E-10</v>
      </c>
      <c r="F252" s="43">
        <f t="shared" si="231"/>
        <v>4.0000000000000001E-10</v>
      </c>
      <c r="G252" s="43">
        <f>$E$7*1.25</f>
        <v>3.75E-10</v>
      </c>
      <c r="H252" s="43">
        <f>$F$7</f>
        <v>4.0000000000000001E-10</v>
      </c>
      <c r="I252" s="43">
        <f>$G$7*1.5</f>
        <v>7.500000000000001E-10</v>
      </c>
      <c r="J252" s="43">
        <f>IF(H1="物理",H7*2,H7)</f>
        <v>6E-10</v>
      </c>
      <c r="K252" s="43">
        <f>IF(I1="物理",I7*2,I7)</f>
        <v>6.9999999999999996E-10</v>
      </c>
      <c r="L252" s="43">
        <f>IF(J1="物理",J7*2,J7)</f>
        <v>8.0000000000000003E-10</v>
      </c>
      <c r="M252" s="43">
        <f>IF(K1="物理",K7*2,K7)</f>
        <v>8.9999999999999999E-10</v>
      </c>
      <c r="N252" s="43">
        <f t="shared" si="230"/>
        <v>9.5000000000000003E-10</v>
      </c>
    </row>
    <row r="253" spans="1:16">
      <c r="A253" s="43" t="s">
        <v>814</v>
      </c>
      <c r="B253" s="43" t="s">
        <v>815</v>
      </c>
      <c r="C253" s="162" t="s">
        <v>215</v>
      </c>
      <c r="D253" s="43">
        <f t="shared" si="217"/>
        <v>3.05E-9</v>
      </c>
      <c r="E253" s="43">
        <f t="shared" si="223"/>
        <v>1E-10</v>
      </c>
      <c r="F253" s="43">
        <f t="shared" si="231"/>
        <v>4.0000000000000001E-10</v>
      </c>
      <c r="G253" s="43">
        <f t="shared" si="222"/>
        <v>3E-10</v>
      </c>
      <c r="H253" s="43">
        <f t="shared" si="224"/>
        <v>4.0000000000000001E-10</v>
      </c>
      <c r="I253" s="43">
        <f>$G$7*1.5</f>
        <v>7.500000000000001E-10</v>
      </c>
      <c r="J253" s="43">
        <f>IF(H1="物理",H7*2,IF(H1="化學",H7*1.5,H7))</f>
        <v>6E-10</v>
      </c>
      <c r="K253" s="43">
        <f>IF(I1="物理",I7*2,IF(I1="化學",I7*1.5,I7))</f>
        <v>6.9999999999999996E-10</v>
      </c>
      <c r="L253" s="43">
        <f>IF(J1="物理",J7*2,IF(J1="化學",J7*1.5,J7))</f>
        <v>8.0000000000000003E-10</v>
      </c>
      <c r="M253" s="43">
        <f>IF(K1="物理",K7*2,IF(K1="化學",K7*1.5,K7))</f>
        <v>8.9999999999999999E-10</v>
      </c>
      <c r="N253" s="43">
        <f t="shared" si="230"/>
        <v>9.5000000000000003E-10</v>
      </c>
    </row>
    <row r="254" spans="1:16">
      <c r="A254" s="43" t="s">
        <v>817</v>
      </c>
      <c r="B254" s="43" t="s">
        <v>818</v>
      </c>
      <c r="C254" s="162" t="s">
        <v>215</v>
      </c>
      <c r="D254" s="43">
        <f t="shared" si="217"/>
        <v>3.3500000000000002E-9</v>
      </c>
      <c r="E254" s="43">
        <f t="shared" si="223"/>
        <v>1E-10</v>
      </c>
      <c r="F254" s="43">
        <f t="shared" si="231"/>
        <v>4.0000000000000001E-10</v>
      </c>
      <c r="G254" s="43">
        <f>$E$7*2</f>
        <v>6E-10</v>
      </c>
      <c r="H254" s="43">
        <f t="shared" si="224"/>
        <v>4.0000000000000001E-10</v>
      </c>
      <c r="I254" s="43">
        <f t="shared" si="225"/>
        <v>5.0000000000000003E-10</v>
      </c>
      <c r="J254" s="43">
        <f>IF(OR(H1="物理",H1="化學",H1="生物",H1="組合科學 (物理、化學)",H1="組合科學 (生物、化學)",H1="組合科學 (物理、生物)"),H7*2,H7)</f>
        <v>6E-10</v>
      </c>
      <c r="K254" s="43">
        <f t="shared" ref="K254:L254" si="232">IF(OR(I1="物理",I1="化學",I1="生物",I1="組合科學 (物理、化學)",I1="組合科學 (生物、化學)",I1="組合科學 (物理、生物)"),I7*2,I7)</f>
        <v>6.9999999999999996E-10</v>
      </c>
      <c r="L254" s="43">
        <f t="shared" si="232"/>
        <v>8.0000000000000003E-10</v>
      </c>
      <c r="M254" s="43">
        <f>IF(OR(K1="物理",K1="化學",K1="組合科學 (物理、化學)",K1="組合科學 (生物、化學)",K1="組合科學 (物理、生物)"),K7*2,K7)</f>
        <v>8.9999999999999999E-10</v>
      </c>
      <c r="N254" s="43">
        <f t="shared" si="230"/>
        <v>9.5000000000000003E-10</v>
      </c>
    </row>
    <row r="255" spans="1:16">
      <c r="A255" s="43" t="s">
        <v>820</v>
      </c>
      <c r="B255" s="43" t="s">
        <v>821</v>
      </c>
      <c r="C255" s="162" t="s">
        <v>215</v>
      </c>
      <c r="D255" s="43">
        <f t="shared" si="217"/>
        <v>3.1999999999999997E-9</v>
      </c>
      <c r="E255" s="43">
        <f t="shared" si="223"/>
        <v>1E-10</v>
      </c>
      <c r="F255" s="43">
        <f t="shared" si="231"/>
        <v>4.0000000000000001E-10</v>
      </c>
      <c r="G255" s="43">
        <f>$E$7*1.5</f>
        <v>4.5E-10</v>
      </c>
      <c r="H255" s="43">
        <f t="shared" si="224"/>
        <v>4.0000000000000001E-10</v>
      </c>
      <c r="I255" s="43">
        <f t="shared" si="225"/>
        <v>5.0000000000000003E-10</v>
      </c>
      <c r="J255" s="43">
        <f>H7</f>
        <v>6E-10</v>
      </c>
      <c r="K255" s="43">
        <f t="shared" ref="K255:M255" si="233">I7</f>
        <v>6.9999999999999996E-10</v>
      </c>
      <c r="L255" s="43">
        <f t="shared" si="233"/>
        <v>8.0000000000000003E-10</v>
      </c>
      <c r="M255" s="43">
        <f t="shared" si="233"/>
        <v>8.9999999999999999E-10</v>
      </c>
      <c r="N255" s="43">
        <f t="shared" si="230"/>
        <v>9.5000000000000003E-10</v>
      </c>
      <c r="P255" s="43" t="s">
        <v>1017</v>
      </c>
    </row>
    <row r="256" spans="1:16">
      <c r="A256" s="43" t="s">
        <v>823</v>
      </c>
      <c r="B256" s="43" t="s">
        <v>824</v>
      </c>
      <c r="C256" s="162" t="s">
        <v>215</v>
      </c>
      <c r="D256" s="43" t="s">
        <v>393</v>
      </c>
      <c r="E256" s="43">
        <f t="shared" si="223"/>
        <v>1E-10</v>
      </c>
      <c r="F256" s="43">
        <f t="shared" ref="F256:F262" si="234">$D$7</f>
        <v>2.0000000000000001E-10</v>
      </c>
      <c r="G256" s="43">
        <f t="shared" ref="G256:G262" si="235">$E$7</f>
        <v>3E-10</v>
      </c>
      <c r="H256" s="43">
        <f t="shared" si="224"/>
        <v>4.0000000000000001E-10</v>
      </c>
      <c r="I256" s="43">
        <f t="shared" si="225"/>
        <v>5.0000000000000003E-10</v>
      </c>
      <c r="J256" s="43">
        <f t="shared" si="226"/>
        <v>6E-10</v>
      </c>
      <c r="K256" s="43">
        <f t="shared" si="227"/>
        <v>6.9999999999999996E-10</v>
      </c>
      <c r="L256" s="43">
        <f t="shared" si="228"/>
        <v>8.0000000000000003E-10</v>
      </c>
      <c r="M256" s="43">
        <f t="shared" si="229"/>
        <v>8.9999999999999999E-10</v>
      </c>
      <c r="N256" s="43">
        <f t="shared" si="230"/>
        <v>9.5000000000000003E-10</v>
      </c>
    </row>
    <row r="257" spans="1:16">
      <c r="A257" s="43" t="s">
        <v>826</v>
      </c>
      <c r="B257" s="43" t="s">
        <v>827</v>
      </c>
      <c r="C257" s="162" t="s">
        <v>215</v>
      </c>
      <c r="D257" s="43" t="s">
        <v>393</v>
      </c>
      <c r="E257" s="43">
        <f t="shared" si="223"/>
        <v>1E-10</v>
      </c>
      <c r="F257" s="43">
        <f t="shared" si="234"/>
        <v>2.0000000000000001E-10</v>
      </c>
      <c r="G257" s="43">
        <f t="shared" si="235"/>
        <v>3E-10</v>
      </c>
      <c r="H257" s="43">
        <f t="shared" si="224"/>
        <v>4.0000000000000001E-10</v>
      </c>
      <c r="I257" s="43">
        <f t="shared" si="225"/>
        <v>5.0000000000000003E-10</v>
      </c>
      <c r="J257" s="43">
        <f t="shared" si="226"/>
        <v>6E-10</v>
      </c>
      <c r="K257" s="43">
        <f t="shared" si="227"/>
        <v>6.9999999999999996E-10</v>
      </c>
      <c r="L257" s="43">
        <f t="shared" si="228"/>
        <v>8.0000000000000003E-10</v>
      </c>
      <c r="M257" s="43">
        <f t="shared" si="229"/>
        <v>8.9999999999999999E-10</v>
      </c>
      <c r="N257" s="43">
        <f t="shared" si="230"/>
        <v>9.5000000000000003E-10</v>
      </c>
      <c r="P257" s="43" t="s">
        <v>1016</v>
      </c>
    </row>
    <row r="258" spans="1:16">
      <c r="A258" s="43" t="s">
        <v>829</v>
      </c>
      <c r="B258" s="43" t="s">
        <v>234</v>
      </c>
      <c r="C258" s="162" t="s">
        <v>215</v>
      </c>
      <c r="D258" s="43" t="s">
        <v>393</v>
      </c>
      <c r="E258" s="43">
        <f t="shared" si="223"/>
        <v>1E-10</v>
      </c>
      <c r="F258" s="43">
        <f t="shared" si="234"/>
        <v>2.0000000000000001E-10</v>
      </c>
      <c r="G258" s="43">
        <f t="shared" si="235"/>
        <v>3E-10</v>
      </c>
      <c r="H258" s="43">
        <f t="shared" si="224"/>
        <v>4.0000000000000001E-10</v>
      </c>
      <c r="I258" s="43">
        <f t="shared" si="225"/>
        <v>5.0000000000000003E-10</v>
      </c>
      <c r="J258" s="43">
        <f t="shared" si="226"/>
        <v>6E-10</v>
      </c>
      <c r="K258" s="43">
        <f t="shared" si="227"/>
        <v>6.9999999999999996E-10</v>
      </c>
      <c r="L258" s="43">
        <f t="shared" si="228"/>
        <v>8.0000000000000003E-10</v>
      </c>
      <c r="M258" s="43">
        <f t="shared" si="229"/>
        <v>8.9999999999999999E-10</v>
      </c>
      <c r="N258" s="43">
        <f t="shared" si="230"/>
        <v>9.5000000000000003E-10</v>
      </c>
    </row>
    <row r="259" spans="1:16">
      <c r="A259" s="43" t="s">
        <v>831</v>
      </c>
      <c r="B259" s="43" t="s">
        <v>832</v>
      </c>
      <c r="C259" s="162" t="s">
        <v>215</v>
      </c>
      <c r="D259" s="43">
        <f>SUM(E259:H259)+LARGE((I259:N259),1)+LARGE((I259:N259),2)</f>
        <v>2.8499999999999999E-9</v>
      </c>
      <c r="E259" s="43">
        <f t="shared" si="223"/>
        <v>1E-10</v>
      </c>
      <c r="F259" s="43">
        <f t="shared" si="234"/>
        <v>2.0000000000000001E-10</v>
      </c>
      <c r="G259" s="43">
        <f t="shared" si="235"/>
        <v>3E-10</v>
      </c>
      <c r="H259" s="43">
        <f t="shared" si="224"/>
        <v>4.0000000000000001E-10</v>
      </c>
      <c r="I259" s="43">
        <f t="shared" si="225"/>
        <v>5.0000000000000003E-10</v>
      </c>
      <c r="J259" s="43">
        <f t="shared" si="226"/>
        <v>6E-10</v>
      </c>
      <c r="K259" s="43">
        <f t="shared" si="227"/>
        <v>6.9999999999999996E-10</v>
      </c>
      <c r="L259" s="43">
        <f t="shared" si="228"/>
        <v>8.0000000000000003E-10</v>
      </c>
      <c r="M259" s="43">
        <f t="shared" si="229"/>
        <v>8.9999999999999999E-10</v>
      </c>
      <c r="N259" s="43">
        <f t="shared" si="230"/>
        <v>9.5000000000000003E-10</v>
      </c>
    </row>
    <row r="260" spans="1:16">
      <c r="A260" s="43" t="s">
        <v>834</v>
      </c>
      <c r="B260" s="43" t="s">
        <v>835</v>
      </c>
      <c r="C260" s="162" t="s">
        <v>215</v>
      </c>
      <c r="D260" s="43">
        <f t="shared" si="217"/>
        <v>3.1999999999999997E-9</v>
      </c>
      <c r="E260" s="43">
        <f t="shared" si="223"/>
        <v>1E-10</v>
      </c>
      <c r="F260" s="43">
        <f>$D$7*2</f>
        <v>4.0000000000000001E-10</v>
      </c>
      <c r="G260" s="43">
        <f>$E$7*1.5</f>
        <v>4.5E-10</v>
      </c>
      <c r="H260" s="43">
        <f t="shared" si="224"/>
        <v>4.0000000000000001E-10</v>
      </c>
      <c r="I260" s="43">
        <f>$G$7*1.5</f>
        <v>7.500000000000001E-10</v>
      </c>
      <c r="J260" s="43">
        <f>IF(OR(H1="化學",H1="生物",H1="組合科學 (物理、化學)",H1="組合科學 (生物、化學)",H1="組合科學 (物理、生物)"),H7*2,IF(OR(H1="企業、會計與財務概論",H1="資訊及通訊科技",H1="科技與生活",H1="綜合科學",H1="物理"),H7*1.5,H7))</f>
        <v>6E-10</v>
      </c>
      <c r="K260" s="43">
        <f t="shared" ref="K260:M260" si="236">IF(OR(I1="化學",I1="生物",I1="組合科學 (物理、化學)",I1="組合科學 (生物、化學)",I1="組合科學 (物理、生物)"),I7*2,IF(OR(I1="企業、會計與財務概論",I1="資訊及通訊科技",I1="科技與生活",I1="綜合科學",I1="物理"),I7*1.5,I7))</f>
        <v>6.9999999999999996E-10</v>
      </c>
      <c r="L260" s="43">
        <f t="shared" si="236"/>
        <v>8.0000000000000003E-10</v>
      </c>
      <c r="M260" s="43">
        <f t="shared" si="236"/>
        <v>8.9999999999999999E-10</v>
      </c>
      <c r="N260" s="43">
        <f t="shared" si="230"/>
        <v>9.5000000000000003E-10</v>
      </c>
    </row>
    <row r="261" spans="1:16">
      <c r="A261" s="43" t="s">
        <v>837</v>
      </c>
      <c r="B261" s="43" t="s">
        <v>838</v>
      </c>
      <c r="C261" s="162" t="s">
        <v>215</v>
      </c>
      <c r="D261" s="43" t="s">
        <v>393</v>
      </c>
      <c r="E261" s="43">
        <f t="shared" si="223"/>
        <v>1E-10</v>
      </c>
      <c r="F261" s="43">
        <f t="shared" si="234"/>
        <v>2.0000000000000001E-10</v>
      </c>
      <c r="G261" s="43">
        <f t="shared" si="235"/>
        <v>3E-10</v>
      </c>
      <c r="H261" s="43">
        <f t="shared" si="224"/>
        <v>4.0000000000000001E-10</v>
      </c>
      <c r="I261" s="43">
        <f t="shared" si="225"/>
        <v>5.0000000000000003E-10</v>
      </c>
      <c r="J261" s="43">
        <f t="shared" si="226"/>
        <v>6E-10</v>
      </c>
      <c r="K261" s="43">
        <f t="shared" si="227"/>
        <v>6.9999999999999996E-10</v>
      </c>
      <c r="L261" s="43">
        <f t="shared" si="228"/>
        <v>8.0000000000000003E-10</v>
      </c>
      <c r="M261" s="43">
        <f t="shared" si="229"/>
        <v>8.9999999999999999E-10</v>
      </c>
      <c r="N261" s="43">
        <f t="shared" si="230"/>
        <v>9.5000000000000003E-10</v>
      </c>
      <c r="P261" s="40" t="s">
        <v>413</v>
      </c>
    </row>
    <row r="262" spans="1:16">
      <c r="A262" s="43" t="s">
        <v>840</v>
      </c>
      <c r="B262" s="43" t="s">
        <v>841</v>
      </c>
      <c r="C262" s="162" t="s">
        <v>215</v>
      </c>
      <c r="D262" s="43" t="s">
        <v>393</v>
      </c>
      <c r="E262" s="43">
        <f t="shared" si="223"/>
        <v>1E-10</v>
      </c>
      <c r="F262" s="43">
        <f t="shared" si="234"/>
        <v>2.0000000000000001E-10</v>
      </c>
      <c r="G262" s="43">
        <f t="shared" si="235"/>
        <v>3E-10</v>
      </c>
      <c r="H262" s="43">
        <f t="shared" si="224"/>
        <v>4.0000000000000001E-10</v>
      </c>
      <c r="I262" s="43">
        <f t="shared" si="225"/>
        <v>5.0000000000000003E-10</v>
      </c>
      <c r="J262" s="43">
        <f t="shared" si="226"/>
        <v>6E-10</v>
      </c>
      <c r="K262" s="43">
        <f t="shared" si="227"/>
        <v>6.9999999999999996E-10</v>
      </c>
      <c r="L262" s="43">
        <f t="shared" si="228"/>
        <v>8.0000000000000003E-10</v>
      </c>
      <c r="M262" s="43">
        <f t="shared" si="229"/>
        <v>8.9999999999999999E-10</v>
      </c>
      <c r="N262" s="43">
        <f t="shared" si="230"/>
        <v>9.5000000000000003E-10</v>
      </c>
      <c r="P262" s="40" t="s">
        <v>411</v>
      </c>
    </row>
    <row r="263" spans="1:16">
      <c r="P263" s="40" t="s">
        <v>221</v>
      </c>
    </row>
    <row r="264" spans="1:16" ht="16.5">
      <c r="A264" s="44" t="s">
        <v>961</v>
      </c>
      <c r="D264" s="43" t="str">
        <f t="shared" ref="D264:N264" si="237">B1</f>
        <v>總分</v>
      </c>
      <c r="E264" s="43" t="str">
        <f t="shared" si="237"/>
        <v>中國語文</v>
      </c>
      <c r="F264" s="43" t="str">
        <f t="shared" si="237"/>
        <v>英國語文</v>
      </c>
      <c r="G264" s="43" t="str">
        <f t="shared" si="237"/>
        <v>數學</v>
      </c>
      <c r="H264" s="43" t="str">
        <f t="shared" si="237"/>
        <v>通識教育</v>
      </c>
      <c r="I264" s="43" t="str">
        <f t="shared" si="237"/>
        <v>數學延伸</v>
      </c>
      <c r="J264" s="43" t="str">
        <f t="shared" si="237"/>
        <v>請選擇第一選修科</v>
      </c>
      <c r="K264" s="43" t="str">
        <f t="shared" si="237"/>
        <v>請選擇第二選修科</v>
      </c>
      <c r="L264" s="43" t="str">
        <f t="shared" si="237"/>
        <v>請選擇第三選修科</v>
      </c>
      <c r="M264" s="43" t="str">
        <f t="shared" si="237"/>
        <v>請選擇第四選修科</v>
      </c>
      <c r="N264" s="43" t="str">
        <f t="shared" si="237"/>
        <v>請選擇語言科目</v>
      </c>
    </row>
    <row r="265" spans="1:16">
      <c r="A265" s="43" t="s">
        <v>915</v>
      </c>
      <c r="B265" s="43" t="s">
        <v>916</v>
      </c>
      <c r="C265" s="162" t="s">
        <v>214</v>
      </c>
      <c r="D265" s="57">
        <f>LARGE(E265:N265, 1)+LARGE(E265:N265, 2)+LARGE(E265:N265, 3)+LARGE(E265:N265, 4)+LARGE(E265:N265, 5)</f>
        <v>3.9500000000000006E-9</v>
      </c>
      <c r="E265" s="43">
        <f>C8</f>
        <v>1E-10</v>
      </c>
      <c r="F265" s="43">
        <f>D8</f>
        <v>2.0000000000000001E-10</v>
      </c>
      <c r="G265" s="43">
        <f t="shared" ref="G265:N265" si="238">E8</f>
        <v>3E-10</v>
      </c>
      <c r="H265" s="43">
        <f t="shared" si="238"/>
        <v>4.0000000000000001E-10</v>
      </c>
      <c r="I265" s="43">
        <f t="shared" si="238"/>
        <v>5.0000000000000003E-10</v>
      </c>
      <c r="J265" s="43">
        <f t="shared" si="238"/>
        <v>6E-10</v>
      </c>
      <c r="K265" s="43">
        <f t="shared" si="238"/>
        <v>6.9999999999999996E-10</v>
      </c>
      <c r="L265" s="43">
        <f t="shared" si="238"/>
        <v>8.0000000000000003E-10</v>
      </c>
      <c r="M265" s="43">
        <f t="shared" si="238"/>
        <v>8.9999999999999999E-10</v>
      </c>
      <c r="N265" s="43">
        <f t="shared" si="238"/>
        <v>9.5000000000000003E-10</v>
      </c>
    </row>
    <row r="266" spans="1:16">
      <c r="A266" s="43" t="s">
        <v>917</v>
      </c>
      <c r="B266" s="43" t="s">
        <v>918</v>
      </c>
      <c r="C266" s="162" t="s">
        <v>214</v>
      </c>
      <c r="D266" s="57">
        <f t="shared" ref="D266:D286" si="239">LARGE(E266:N266, 1)+LARGE(E266:N266, 2)+LARGE(E266:N266, 3)+LARGE(E266:N266, 4)+LARGE(E266:N266, 5)</f>
        <v>3.9500000000000006E-9</v>
      </c>
      <c r="E266" s="43">
        <f>C8</f>
        <v>1E-10</v>
      </c>
      <c r="F266" s="43">
        <f>D8</f>
        <v>2.0000000000000001E-10</v>
      </c>
      <c r="G266" s="43">
        <f t="shared" ref="G266:N266" si="240">E8</f>
        <v>3E-10</v>
      </c>
      <c r="H266" s="43">
        <f t="shared" si="240"/>
        <v>4.0000000000000001E-10</v>
      </c>
      <c r="I266" s="43">
        <f t="shared" si="240"/>
        <v>5.0000000000000003E-10</v>
      </c>
      <c r="J266" s="43">
        <f t="shared" si="240"/>
        <v>6E-10</v>
      </c>
      <c r="K266" s="43">
        <f t="shared" si="240"/>
        <v>6.9999999999999996E-10</v>
      </c>
      <c r="L266" s="43">
        <f t="shared" si="240"/>
        <v>8.0000000000000003E-10</v>
      </c>
      <c r="M266" s="43">
        <f t="shared" si="240"/>
        <v>8.9999999999999999E-10</v>
      </c>
      <c r="N266" s="43">
        <f t="shared" si="240"/>
        <v>9.5000000000000003E-10</v>
      </c>
    </row>
    <row r="267" spans="1:16">
      <c r="A267" s="43" t="s">
        <v>919</v>
      </c>
      <c r="B267" s="43" t="s">
        <v>920</v>
      </c>
      <c r="C267" s="162" t="s">
        <v>214</v>
      </c>
      <c r="D267" s="57">
        <f t="shared" si="239"/>
        <v>3.9500000000000006E-9</v>
      </c>
      <c r="E267" s="43">
        <f>C8</f>
        <v>1E-10</v>
      </c>
      <c r="F267" s="43">
        <f>D8</f>
        <v>2.0000000000000001E-10</v>
      </c>
      <c r="G267" s="43">
        <f t="shared" ref="G267:N267" si="241">E8</f>
        <v>3E-10</v>
      </c>
      <c r="H267" s="43">
        <f t="shared" si="241"/>
        <v>4.0000000000000001E-10</v>
      </c>
      <c r="I267" s="43">
        <f t="shared" si="241"/>
        <v>5.0000000000000003E-10</v>
      </c>
      <c r="J267" s="43">
        <f t="shared" si="241"/>
        <v>6E-10</v>
      </c>
      <c r="K267" s="43">
        <f t="shared" si="241"/>
        <v>6.9999999999999996E-10</v>
      </c>
      <c r="L267" s="43">
        <f t="shared" si="241"/>
        <v>8.0000000000000003E-10</v>
      </c>
      <c r="M267" s="43">
        <f t="shared" si="241"/>
        <v>8.9999999999999999E-10</v>
      </c>
      <c r="N267" s="43">
        <f t="shared" si="241"/>
        <v>9.5000000000000003E-10</v>
      </c>
    </row>
    <row r="268" spans="1:16">
      <c r="A268" s="43" t="s">
        <v>921</v>
      </c>
      <c r="B268" s="43" t="s">
        <v>922</v>
      </c>
      <c r="C268" s="162" t="s">
        <v>214</v>
      </c>
      <c r="D268" s="57">
        <f t="shared" si="239"/>
        <v>3.9500000000000006E-9</v>
      </c>
      <c r="E268" s="43">
        <f>C8</f>
        <v>1E-10</v>
      </c>
      <c r="F268" s="43">
        <f>D8</f>
        <v>2.0000000000000001E-10</v>
      </c>
      <c r="G268" s="43">
        <f t="shared" ref="G268:N268" si="242">E8</f>
        <v>3E-10</v>
      </c>
      <c r="H268" s="43">
        <f t="shared" si="242"/>
        <v>4.0000000000000001E-10</v>
      </c>
      <c r="I268" s="43">
        <f t="shared" si="242"/>
        <v>5.0000000000000003E-10</v>
      </c>
      <c r="J268" s="43">
        <f t="shared" si="242"/>
        <v>6E-10</v>
      </c>
      <c r="K268" s="43">
        <f t="shared" si="242"/>
        <v>6.9999999999999996E-10</v>
      </c>
      <c r="L268" s="43">
        <f t="shared" si="242"/>
        <v>8.0000000000000003E-10</v>
      </c>
      <c r="M268" s="43">
        <f t="shared" si="242"/>
        <v>8.9999999999999999E-10</v>
      </c>
      <c r="N268" s="43">
        <f t="shared" si="242"/>
        <v>9.5000000000000003E-10</v>
      </c>
    </row>
    <row r="269" spans="1:16">
      <c r="A269" s="43" t="s">
        <v>923</v>
      </c>
      <c r="B269" s="43" t="s">
        <v>924</v>
      </c>
      <c r="C269" s="162" t="s">
        <v>214</v>
      </c>
      <c r="D269" s="57">
        <f t="shared" si="239"/>
        <v>3.9500000000000006E-9</v>
      </c>
      <c r="E269" s="43">
        <f>C8</f>
        <v>1E-10</v>
      </c>
      <c r="F269" s="43">
        <f>D8</f>
        <v>2.0000000000000001E-10</v>
      </c>
      <c r="G269" s="43">
        <f t="shared" ref="G269:N269" si="243">E8</f>
        <v>3E-10</v>
      </c>
      <c r="H269" s="43">
        <f t="shared" si="243"/>
        <v>4.0000000000000001E-10</v>
      </c>
      <c r="I269" s="43">
        <f t="shared" si="243"/>
        <v>5.0000000000000003E-10</v>
      </c>
      <c r="J269" s="43">
        <f t="shared" si="243"/>
        <v>6E-10</v>
      </c>
      <c r="K269" s="43">
        <f t="shared" si="243"/>
        <v>6.9999999999999996E-10</v>
      </c>
      <c r="L269" s="43">
        <f t="shared" si="243"/>
        <v>8.0000000000000003E-10</v>
      </c>
      <c r="M269" s="43">
        <f t="shared" si="243"/>
        <v>8.9999999999999999E-10</v>
      </c>
      <c r="N269" s="43">
        <f t="shared" si="243"/>
        <v>9.5000000000000003E-10</v>
      </c>
    </row>
    <row r="270" spans="1:16">
      <c r="A270" s="43" t="s">
        <v>925</v>
      </c>
      <c r="B270" s="43" t="s">
        <v>926</v>
      </c>
      <c r="C270" s="162" t="s">
        <v>214</v>
      </c>
      <c r="D270" s="57">
        <f t="shared" si="239"/>
        <v>3.9500000000000006E-9</v>
      </c>
      <c r="E270" s="43">
        <f>C8</f>
        <v>1E-10</v>
      </c>
      <c r="F270" s="43">
        <f>D8</f>
        <v>2.0000000000000001E-10</v>
      </c>
      <c r="G270" s="43">
        <f t="shared" ref="G270:N270" si="244">E8</f>
        <v>3E-10</v>
      </c>
      <c r="H270" s="43">
        <f t="shared" si="244"/>
        <v>4.0000000000000001E-10</v>
      </c>
      <c r="I270" s="43">
        <f t="shared" si="244"/>
        <v>5.0000000000000003E-10</v>
      </c>
      <c r="J270" s="43">
        <f t="shared" si="244"/>
        <v>6E-10</v>
      </c>
      <c r="K270" s="43">
        <f t="shared" si="244"/>
        <v>6.9999999999999996E-10</v>
      </c>
      <c r="L270" s="43">
        <f t="shared" si="244"/>
        <v>8.0000000000000003E-10</v>
      </c>
      <c r="M270" s="43">
        <f t="shared" si="244"/>
        <v>8.9999999999999999E-10</v>
      </c>
      <c r="N270" s="43">
        <f t="shared" si="244"/>
        <v>9.5000000000000003E-10</v>
      </c>
      <c r="P270" s="43">
        <f>IF(AND(E8&lt;3,G8&lt;2),0,IF(E8&gt;4,2,0))</f>
        <v>0</v>
      </c>
    </row>
    <row r="271" spans="1:16">
      <c r="A271" s="43" t="s">
        <v>927</v>
      </c>
      <c r="B271" s="43" t="s">
        <v>928</v>
      </c>
      <c r="C271" s="162" t="s">
        <v>214</v>
      </c>
      <c r="D271" s="57">
        <f t="shared" si="239"/>
        <v>3.9500000000000006E-9</v>
      </c>
      <c r="E271" s="43">
        <f>C8</f>
        <v>1E-10</v>
      </c>
      <c r="F271" s="43">
        <f>D8</f>
        <v>2.0000000000000001E-10</v>
      </c>
      <c r="G271" s="43">
        <f t="shared" ref="G271:N271" si="245">E8</f>
        <v>3E-10</v>
      </c>
      <c r="H271" s="43">
        <f t="shared" si="245"/>
        <v>4.0000000000000001E-10</v>
      </c>
      <c r="I271" s="43">
        <f t="shared" si="245"/>
        <v>5.0000000000000003E-10</v>
      </c>
      <c r="J271" s="43">
        <f t="shared" si="245"/>
        <v>6E-10</v>
      </c>
      <c r="K271" s="43">
        <f t="shared" si="245"/>
        <v>6.9999999999999996E-10</v>
      </c>
      <c r="L271" s="43">
        <f t="shared" si="245"/>
        <v>8.0000000000000003E-10</v>
      </c>
      <c r="M271" s="43">
        <f t="shared" si="245"/>
        <v>8.9999999999999999E-10</v>
      </c>
      <c r="N271" s="43">
        <f t="shared" si="245"/>
        <v>9.5000000000000003E-10</v>
      </c>
    </row>
    <row r="272" spans="1:16">
      <c r="A272" s="43" t="s">
        <v>929</v>
      </c>
      <c r="B272" s="43" t="s">
        <v>930</v>
      </c>
      <c r="C272" s="162" t="s">
        <v>214</v>
      </c>
      <c r="D272" s="57">
        <f t="shared" si="239"/>
        <v>3.9500000000000006E-9</v>
      </c>
      <c r="E272" s="43">
        <f>C8</f>
        <v>1E-10</v>
      </c>
      <c r="F272" s="43">
        <f>D8</f>
        <v>2.0000000000000001E-10</v>
      </c>
      <c r="G272" s="43">
        <f t="shared" ref="G272:N272" si="246">E8</f>
        <v>3E-10</v>
      </c>
      <c r="H272" s="43">
        <f t="shared" si="246"/>
        <v>4.0000000000000001E-10</v>
      </c>
      <c r="I272" s="43">
        <f t="shared" si="246"/>
        <v>5.0000000000000003E-10</v>
      </c>
      <c r="J272" s="43">
        <f t="shared" si="246"/>
        <v>6E-10</v>
      </c>
      <c r="K272" s="43">
        <f t="shared" si="246"/>
        <v>6.9999999999999996E-10</v>
      </c>
      <c r="L272" s="43">
        <f t="shared" si="246"/>
        <v>8.0000000000000003E-10</v>
      </c>
      <c r="M272" s="43">
        <f t="shared" si="246"/>
        <v>8.9999999999999999E-10</v>
      </c>
      <c r="N272" s="43">
        <f t="shared" si="246"/>
        <v>9.5000000000000003E-10</v>
      </c>
    </row>
    <row r="273" spans="1:20">
      <c r="A273" s="43" t="s">
        <v>931</v>
      </c>
      <c r="B273" s="43" t="s">
        <v>932</v>
      </c>
      <c r="C273" s="162" t="s">
        <v>214</v>
      </c>
      <c r="D273" s="57">
        <f t="shared" si="239"/>
        <v>3.9500000000000006E-9</v>
      </c>
      <c r="E273" s="43">
        <f>C8</f>
        <v>1E-10</v>
      </c>
      <c r="F273" s="43">
        <f>D8</f>
        <v>2.0000000000000001E-10</v>
      </c>
      <c r="G273" s="43">
        <f t="shared" ref="G273:N273" si="247">E8</f>
        <v>3E-10</v>
      </c>
      <c r="H273" s="43">
        <f t="shared" si="247"/>
        <v>4.0000000000000001E-10</v>
      </c>
      <c r="I273" s="43">
        <f t="shared" si="247"/>
        <v>5.0000000000000003E-10</v>
      </c>
      <c r="J273" s="43">
        <f t="shared" si="247"/>
        <v>6E-10</v>
      </c>
      <c r="K273" s="43">
        <f t="shared" si="247"/>
        <v>6.9999999999999996E-10</v>
      </c>
      <c r="L273" s="43">
        <f t="shared" si="247"/>
        <v>8.0000000000000003E-10</v>
      </c>
      <c r="M273" s="43">
        <f t="shared" si="247"/>
        <v>8.9999999999999999E-10</v>
      </c>
      <c r="N273" s="43">
        <f t="shared" si="247"/>
        <v>9.5000000000000003E-10</v>
      </c>
    </row>
    <row r="274" spans="1:20">
      <c r="A274" s="43" t="s">
        <v>933</v>
      </c>
      <c r="B274" s="43" t="s">
        <v>934</v>
      </c>
      <c r="C274" s="162" t="s">
        <v>214</v>
      </c>
      <c r="D274" s="57">
        <f t="shared" si="239"/>
        <v>3.9500000000000006E-9</v>
      </c>
      <c r="E274" s="43">
        <f>C8</f>
        <v>1E-10</v>
      </c>
      <c r="F274" s="43">
        <f>D8</f>
        <v>2.0000000000000001E-10</v>
      </c>
      <c r="G274" s="43">
        <f t="shared" ref="G274:N274" si="248">E8</f>
        <v>3E-10</v>
      </c>
      <c r="H274" s="43">
        <f t="shared" si="248"/>
        <v>4.0000000000000001E-10</v>
      </c>
      <c r="I274" s="43">
        <f t="shared" si="248"/>
        <v>5.0000000000000003E-10</v>
      </c>
      <c r="J274" s="43">
        <f t="shared" si="248"/>
        <v>6E-10</v>
      </c>
      <c r="K274" s="43">
        <f t="shared" si="248"/>
        <v>6.9999999999999996E-10</v>
      </c>
      <c r="L274" s="43">
        <f t="shared" si="248"/>
        <v>8.0000000000000003E-10</v>
      </c>
      <c r="M274" s="43">
        <f t="shared" si="248"/>
        <v>8.9999999999999999E-10</v>
      </c>
      <c r="N274" s="43">
        <f t="shared" si="248"/>
        <v>9.5000000000000003E-10</v>
      </c>
    </row>
    <row r="275" spans="1:20">
      <c r="A275" s="43" t="s">
        <v>935</v>
      </c>
      <c r="B275" s="43" t="s">
        <v>936</v>
      </c>
      <c r="C275" s="162" t="s">
        <v>214</v>
      </c>
      <c r="D275" s="57">
        <f t="shared" si="239"/>
        <v>3.9500000000000006E-9</v>
      </c>
      <c r="E275" s="43">
        <f>C8</f>
        <v>1E-10</v>
      </c>
      <c r="F275" s="43">
        <f>D8</f>
        <v>2.0000000000000001E-10</v>
      </c>
      <c r="G275" s="43">
        <f t="shared" ref="G275:N275" si="249">E8</f>
        <v>3E-10</v>
      </c>
      <c r="H275" s="43">
        <f t="shared" si="249"/>
        <v>4.0000000000000001E-10</v>
      </c>
      <c r="I275" s="43">
        <f t="shared" si="249"/>
        <v>5.0000000000000003E-10</v>
      </c>
      <c r="J275" s="43">
        <f t="shared" si="249"/>
        <v>6E-10</v>
      </c>
      <c r="K275" s="43">
        <f t="shared" si="249"/>
        <v>6.9999999999999996E-10</v>
      </c>
      <c r="L275" s="43">
        <f t="shared" si="249"/>
        <v>8.0000000000000003E-10</v>
      </c>
      <c r="M275" s="43">
        <f t="shared" si="249"/>
        <v>8.9999999999999999E-10</v>
      </c>
      <c r="N275" s="43">
        <f t="shared" si="249"/>
        <v>9.5000000000000003E-10</v>
      </c>
      <c r="P275" s="43" t="s">
        <v>962</v>
      </c>
      <c r="Q275" s="43">
        <f>IF(OR(H1="歷史",H1="中國歷史",I1="歷史",I1="中國歷史",J1="歷史",J1="中國歷史"),1,0)</f>
        <v>0</v>
      </c>
    </row>
    <row r="276" spans="1:20">
      <c r="A276" s="43" t="s">
        <v>937</v>
      </c>
      <c r="B276" s="43" t="s">
        <v>938</v>
      </c>
      <c r="C276" s="162" t="s">
        <v>214</v>
      </c>
      <c r="D276" s="57">
        <f t="shared" si="239"/>
        <v>3.9500000000000006E-9</v>
      </c>
      <c r="E276" s="43">
        <f>C8</f>
        <v>1E-10</v>
      </c>
      <c r="F276" s="43">
        <f>D8</f>
        <v>2.0000000000000001E-10</v>
      </c>
      <c r="G276" s="43">
        <f t="shared" ref="G276:N276" si="250">E8</f>
        <v>3E-10</v>
      </c>
      <c r="H276" s="43">
        <f t="shared" si="250"/>
        <v>4.0000000000000001E-10</v>
      </c>
      <c r="I276" s="43">
        <f t="shared" si="250"/>
        <v>5.0000000000000003E-10</v>
      </c>
      <c r="J276" s="43">
        <f t="shared" si="250"/>
        <v>6E-10</v>
      </c>
      <c r="K276" s="43">
        <f t="shared" si="250"/>
        <v>6.9999999999999996E-10</v>
      </c>
      <c r="L276" s="43">
        <f t="shared" si="250"/>
        <v>8.0000000000000003E-10</v>
      </c>
      <c r="M276" s="43">
        <f t="shared" si="250"/>
        <v>8.9999999999999999E-10</v>
      </c>
      <c r="N276" s="43">
        <f t="shared" si="250"/>
        <v>9.5000000000000003E-10</v>
      </c>
    </row>
    <row r="277" spans="1:20">
      <c r="A277" s="43" t="s">
        <v>939</v>
      </c>
      <c r="B277" s="43" t="s">
        <v>940</v>
      </c>
      <c r="C277" s="162" t="s">
        <v>214</v>
      </c>
      <c r="D277" s="57">
        <f t="shared" si="239"/>
        <v>3.9500000000000006E-9</v>
      </c>
      <c r="E277" s="43">
        <f>C8</f>
        <v>1E-10</v>
      </c>
      <c r="F277" s="43">
        <f>D8</f>
        <v>2.0000000000000001E-10</v>
      </c>
      <c r="G277" s="43">
        <f t="shared" ref="G277:N277" si="251">E8</f>
        <v>3E-10</v>
      </c>
      <c r="H277" s="43">
        <f t="shared" si="251"/>
        <v>4.0000000000000001E-10</v>
      </c>
      <c r="I277" s="43">
        <f t="shared" si="251"/>
        <v>5.0000000000000003E-10</v>
      </c>
      <c r="J277" s="43">
        <f t="shared" si="251"/>
        <v>6E-10</v>
      </c>
      <c r="K277" s="43">
        <f t="shared" si="251"/>
        <v>6.9999999999999996E-10</v>
      </c>
      <c r="L277" s="43">
        <f t="shared" si="251"/>
        <v>8.0000000000000003E-10</v>
      </c>
      <c r="M277" s="43">
        <f t="shared" si="251"/>
        <v>8.9999999999999999E-10</v>
      </c>
      <c r="N277" s="43">
        <f t="shared" si="251"/>
        <v>9.5000000000000003E-10</v>
      </c>
      <c r="P277" s="43" t="s">
        <v>7</v>
      </c>
      <c r="Q277" s="43">
        <f>IF(H1="中國文學",H13,0)</f>
        <v>0</v>
      </c>
      <c r="R277" s="43">
        <f>IF(I1="中國文學",I13,0)</f>
        <v>0</v>
      </c>
      <c r="S277" s="43">
        <f>IF(J1="中國文學",J13,0)</f>
        <v>0</v>
      </c>
      <c r="T277" s="43">
        <f>SUM(Q277:S277)</f>
        <v>0</v>
      </c>
    </row>
    <row r="278" spans="1:20">
      <c r="A278" s="43" t="s">
        <v>941</v>
      </c>
      <c r="B278" s="43" t="s">
        <v>942</v>
      </c>
      <c r="C278" s="162" t="s">
        <v>214</v>
      </c>
      <c r="D278" s="57">
        <f t="shared" si="239"/>
        <v>3.9500000000000006E-9</v>
      </c>
      <c r="E278" s="43">
        <f>C8</f>
        <v>1E-10</v>
      </c>
      <c r="F278" s="43">
        <f>D8</f>
        <v>2.0000000000000001E-10</v>
      </c>
      <c r="G278" s="43">
        <f t="shared" ref="G278:N278" si="252">E8</f>
        <v>3E-10</v>
      </c>
      <c r="H278" s="43">
        <f t="shared" si="252"/>
        <v>4.0000000000000001E-10</v>
      </c>
      <c r="I278" s="43">
        <f t="shared" si="252"/>
        <v>5.0000000000000003E-10</v>
      </c>
      <c r="J278" s="43">
        <f t="shared" si="252"/>
        <v>6E-10</v>
      </c>
      <c r="K278" s="43">
        <f t="shared" si="252"/>
        <v>6.9999999999999996E-10</v>
      </c>
      <c r="L278" s="43">
        <f t="shared" si="252"/>
        <v>8.0000000000000003E-10</v>
      </c>
      <c r="M278" s="43">
        <f t="shared" si="252"/>
        <v>8.9999999999999999E-10</v>
      </c>
      <c r="N278" s="43">
        <f t="shared" si="252"/>
        <v>9.5000000000000003E-10</v>
      </c>
      <c r="P278" s="43" t="s">
        <v>10</v>
      </c>
      <c r="Q278" s="43">
        <f>IF(H1="英語文學",H13,0)</f>
        <v>0</v>
      </c>
      <c r="R278" s="43">
        <f>IF(I$1="英語文學",I$13,0)</f>
        <v>0</v>
      </c>
      <c r="S278" s="43">
        <f>IF(J$1="英語文學",J$13,0)</f>
        <v>0</v>
      </c>
      <c r="T278" s="43">
        <f>SUM(Q278:S278)</f>
        <v>0</v>
      </c>
    </row>
    <row r="279" spans="1:20">
      <c r="A279" s="43" t="s">
        <v>943</v>
      </c>
      <c r="B279" s="43" t="s">
        <v>944</v>
      </c>
      <c r="C279" s="162" t="s">
        <v>214</v>
      </c>
      <c r="D279" s="57">
        <f t="shared" si="239"/>
        <v>3.9500000000000006E-9</v>
      </c>
      <c r="E279" s="43">
        <f>C8</f>
        <v>1E-10</v>
      </c>
      <c r="F279" s="43">
        <f>D8</f>
        <v>2.0000000000000001E-10</v>
      </c>
      <c r="G279" s="43">
        <f t="shared" ref="G279:N279" si="253">E8</f>
        <v>3E-10</v>
      </c>
      <c r="H279" s="43">
        <f t="shared" si="253"/>
        <v>4.0000000000000001E-10</v>
      </c>
      <c r="I279" s="43">
        <f t="shared" si="253"/>
        <v>5.0000000000000003E-10</v>
      </c>
      <c r="J279" s="43">
        <f t="shared" si="253"/>
        <v>6E-10</v>
      </c>
      <c r="K279" s="43">
        <f t="shared" si="253"/>
        <v>6.9999999999999996E-10</v>
      </c>
      <c r="L279" s="43">
        <f t="shared" si="253"/>
        <v>8.0000000000000003E-10</v>
      </c>
      <c r="M279" s="43">
        <f t="shared" si="253"/>
        <v>8.9999999999999999E-10</v>
      </c>
      <c r="N279" s="43">
        <f t="shared" si="253"/>
        <v>9.5000000000000003E-10</v>
      </c>
    </row>
    <row r="280" spans="1:20">
      <c r="A280" s="43" t="s">
        <v>945</v>
      </c>
      <c r="B280" s="43" t="s">
        <v>946</v>
      </c>
      <c r="C280" s="162" t="s">
        <v>214</v>
      </c>
      <c r="D280" s="57">
        <f>LARGE(E280:N280, 1)+LARGE(E280:N280, 2)+LARGE(E280:N280, 3)+LARGE(E280:N280, 4)+LARGE(E280:N280, 5)</f>
        <v>3.9500000000000006E-9</v>
      </c>
      <c r="E280" s="43">
        <f>C8</f>
        <v>1E-10</v>
      </c>
      <c r="F280" s="43">
        <f>D8</f>
        <v>2.0000000000000001E-10</v>
      </c>
      <c r="G280" s="43">
        <f t="shared" ref="G280:N280" si="254">E8</f>
        <v>3E-10</v>
      </c>
      <c r="H280" s="43">
        <f t="shared" si="254"/>
        <v>4.0000000000000001E-10</v>
      </c>
      <c r="I280" s="43">
        <f t="shared" si="254"/>
        <v>5.0000000000000003E-10</v>
      </c>
      <c r="J280" s="43">
        <f t="shared" si="254"/>
        <v>6E-10</v>
      </c>
      <c r="K280" s="43">
        <f t="shared" si="254"/>
        <v>6.9999999999999996E-10</v>
      </c>
      <c r="L280" s="43">
        <f t="shared" si="254"/>
        <v>8.0000000000000003E-10</v>
      </c>
      <c r="M280" s="43">
        <f t="shared" si="254"/>
        <v>8.9999999999999999E-10</v>
      </c>
      <c r="N280" s="43">
        <f t="shared" si="254"/>
        <v>9.5000000000000003E-10</v>
      </c>
      <c r="P280" s="43" t="s">
        <v>21</v>
      </c>
      <c r="Q280" s="43">
        <f>IF(H1="音樂",H13,0)</f>
        <v>0</v>
      </c>
      <c r="R280" s="43">
        <f>IF(I1="音樂",I13,0)</f>
        <v>0</v>
      </c>
      <c r="S280" s="43">
        <f>IF(J1="音樂",J13,0)</f>
        <v>0</v>
      </c>
      <c r="T280" s="43">
        <f>SUM(Q280:S280)</f>
        <v>0</v>
      </c>
    </row>
    <row r="281" spans="1:20">
      <c r="A281" s="43" t="s">
        <v>947</v>
      </c>
      <c r="B281" s="43" t="s">
        <v>948</v>
      </c>
      <c r="C281" s="162" t="s">
        <v>214</v>
      </c>
      <c r="D281" s="57">
        <f t="shared" si="239"/>
        <v>3.9500000000000006E-9</v>
      </c>
      <c r="E281" s="43">
        <f>C8</f>
        <v>1E-10</v>
      </c>
      <c r="F281" s="43">
        <f>D8</f>
        <v>2.0000000000000001E-10</v>
      </c>
      <c r="G281" s="43">
        <f t="shared" ref="G281:N281" si="255">E8</f>
        <v>3E-10</v>
      </c>
      <c r="H281" s="43">
        <f t="shared" si="255"/>
        <v>4.0000000000000001E-10</v>
      </c>
      <c r="I281" s="43">
        <f t="shared" si="255"/>
        <v>5.0000000000000003E-10</v>
      </c>
      <c r="J281" s="43">
        <f t="shared" si="255"/>
        <v>6E-10</v>
      </c>
      <c r="K281" s="43">
        <f t="shared" si="255"/>
        <v>6.9999999999999996E-10</v>
      </c>
      <c r="L281" s="43">
        <f t="shared" si="255"/>
        <v>8.0000000000000003E-10</v>
      </c>
      <c r="M281" s="43">
        <f t="shared" si="255"/>
        <v>8.9999999999999999E-10</v>
      </c>
      <c r="N281" s="43">
        <f t="shared" si="255"/>
        <v>9.5000000000000003E-10</v>
      </c>
      <c r="P281" s="43" t="s">
        <v>23</v>
      </c>
      <c r="Q281" s="43">
        <f>IF(H1="視覺藝術",H13,0)</f>
        <v>0</v>
      </c>
      <c r="R281" s="43">
        <f>IF(I1="視覺藝術",I13,0)</f>
        <v>0</v>
      </c>
      <c r="S281" s="43">
        <f>IF(J1="視覺藝術",J13,0)</f>
        <v>0</v>
      </c>
      <c r="T281" s="43">
        <f>SUM(Q281:S281)</f>
        <v>0</v>
      </c>
    </row>
    <row r="282" spans="1:20">
      <c r="A282" s="43" t="s">
        <v>949</v>
      </c>
      <c r="B282" s="43" t="s">
        <v>950</v>
      </c>
      <c r="C282" s="162" t="s">
        <v>214</v>
      </c>
      <c r="D282" s="57">
        <f t="shared" si="239"/>
        <v>3.9500000000000006E-9</v>
      </c>
      <c r="E282" s="43">
        <f>C8</f>
        <v>1E-10</v>
      </c>
      <c r="F282" s="43">
        <f>D8</f>
        <v>2.0000000000000001E-10</v>
      </c>
      <c r="G282" s="43">
        <f t="shared" ref="G282:N282" si="256">E8</f>
        <v>3E-10</v>
      </c>
      <c r="H282" s="43">
        <f t="shared" si="256"/>
        <v>4.0000000000000001E-10</v>
      </c>
      <c r="I282" s="43">
        <f t="shared" si="256"/>
        <v>5.0000000000000003E-10</v>
      </c>
      <c r="J282" s="43">
        <f t="shared" si="256"/>
        <v>6E-10</v>
      </c>
      <c r="K282" s="43">
        <f t="shared" si="256"/>
        <v>6.9999999999999996E-10</v>
      </c>
      <c r="L282" s="43">
        <f t="shared" si="256"/>
        <v>8.0000000000000003E-10</v>
      </c>
      <c r="M282" s="43">
        <f t="shared" si="256"/>
        <v>8.9999999999999999E-10</v>
      </c>
      <c r="N282" s="43">
        <f t="shared" si="256"/>
        <v>9.5000000000000003E-10</v>
      </c>
    </row>
    <row r="283" spans="1:20">
      <c r="A283" s="43" t="s">
        <v>951</v>
      </c>
      <c r="B283" s="43" t="s">
        <v>952</v>
      </c>
      <c r="C283" s="162" t="s">
        <v>214</v>
      </c>
      <c r="D283" s="57">
        <f t="shared" si="239"/>
        <v>3.9500000000000006E-9</v>
      </c>
      <c r="E283" s="43">
        <f>C8</f>
        <v>1E-10</v>
      </c>
      <c r="F283" s="43">
        <f>D8</f>
        <v>2.0000000000000001E-10</v>
      </c>
      <c r="G283" s="43">
        <f t="shared" ref="G283:N283" si="257">E8</f>
        <v>3E-10</v>
      </c>
      <c r="H283" s="43">
        <f t="shared" si="257"/>
        <v>4.0000000000000001E-10</v>
      </c>
      <c r="I283" s="43">
        <f t="shared" si="257"/>
        <v>5.0000000000000003E-10</v>
      </c>
      <c r="J283" s="43">
        <f t="shared" si="257"/>
        <v>6E-10</v>
      </c>
      <c r="K283" s="43">
        <f t="shared" si="257"/>
        <v>6.9999999999999996E-10</v>
      </c>
      <c r="L283" s="43">
        <f t="shared" si="257"/>
        <v>8.0000000000000003E-10</v>
      </c>
      <c r="M283" s="43">
        <f t="shared" si="257"/>
        <v>8.9999999999999999E-10</v>
      </c>
      <c r="N283" s="43">
        <f t="shared" si="257"/>
        <v>9.5000000000000003E-10</v>
      </c>
    </row>
    <row r="284" spans="1:20">
      <c r="A284" s="43" t="s">
        <v>953</v>
      </c>
      <c r="B284" s="43" t="s">
        <v>954</v>
      </c>
      <c r="C284" s="162" t="s">
        <v>214</v>
      </c>
      <c r="D284" s="57">
        <f t="shared" si="239"/>
        <v>3.9500000000000006E-9</v>
      </c>
      <c r="E284" s="43">
        <f>C8</f>
        <v>1E-10</v>
      </c>
      <c r="F284" s="43">
        <f>D8</f>
        <v>2.0000000000000001E-10</v>
      </c>
      <c r="G284" s="43">
        <f t="shared" ref="G284:N284" si="258">E8</f>
        <v>3E-10</v>
      </c>
      <c r="H284" s="43">
        <f t="shared" si="258"/>
        <v>4.0000000000000001E-10</v>
      </c>
      <c r="I284" s="43">
        <f t="shared" si="258"/>
        <v>5.0000000000000003E-10</v>
      </c>
      <c r="J284" s="43">
        <f t="shared" si="258"/>
        <v>6E-10</v>
      </c>
      <c r="K284" s="43">
        <f t="shared" si="258"/>
        <v>6.9999999999999996E-10</v>
      </c>
      <c r="L284" s="43">
        <f t="shared" si="258"/>
        <v>8.0000000000000003E-10</v>
      </c>
      <c r="M284" s="43">
        <f t="shared" si="258"/>
        <v>8.9999999999999999E-10</v>
      </c>
      <c r="N284" s="43">
        <f t="shared" si="258"/>
        <v>9.5000000000000003E-10</v>
      </c>
    </row>
    <row r="285" spans="1:20">
      <c r="A285" s="43" t="s">
        <v>955</v>
      </c>
      <c r="B285" s="43" t="s">
        <v>956</v>
      </c>
      <c r="C285" s="162" t="s">
        <v>214</v>
      </c>
      <c r="D285" s="57">
        <f t="shared" si="239"/>
        <v>3.9500000000000006E-9</v>
      </c>
      <c r="E285" s="43">
        <f>C8</f>
        <v>1E-10</v>
      </c>
      <c r="F285" s="43">
        <f>D8</f>
        <v>2.0000000000000001E-10</v>
      </c>
      <c r="G285" s="43">
        <f t="shared" ref="G285:N285" si="259">E8</f>
        <v>3E-10</v>
      </c>
      <c r="H285" s="43">
        <f t="shared" si="259"/>
        <v>4.0000000000000001E-10</v>
      </c>
      <c r="I285" s="43">
        <f t="shared" si="259"/>
        <v>5.0000000000000003E-10</v>
      </c>
      <c r="J285" s="43">
        <f t="shared" si="259"/>
        <v>6E-10</v>
      </c>
      <c r="K285" s="43">
        <f t="shared" si="259"/>
        <v>6.9999999999999996E-10</v>
      </c>
      <c r="L285" s="43">
        <f t="shared" si="259"/>
        <v>8.0000000000000003E-10</v>
      </c>
      <c r="M285" s="43">
        <f t="shared" si="259"/>
        <v>8.9999999999999999E-10</v>
      </c>
      <c r="N285" s="43">
        <f t="shared" si="259"/>
        <v>9.5000000000000003E-10</v>
      </c>
    </row>
    <row r="286" spans="1:20">
      <c r="A286" s="43" t="s">
        <v>957</v>
      </c>
      <c r="B286" s="43" t="s">
        <v>958</v>
      </c>
      <c r="C286" s="162" t="s">
        <v>214</v>
      </c>
      <c r="D286" s="57">
        <f t="shared" si="239"/>
        <v>3.9500000000000006E-9</v>
      </c>
      <c r="E286" s="43">
        <f>C8</f>
        <v>1E-10</v>
      </c>
      <c r="F286" s="43">
        <f>D8</f>
        <v>2.0000000000000001E-10</v>
      </c>
      <c r="G286" s="43">
        <f t="shared" ref="G286:N286" si="260">E8</f>
        <v>3E-10</v>
      </c>
      <c r="H286" s="43">
        <f t="shared" si="260"/>
        <v>4.0000000000000001E-10</v>
      </c>
      <c r="I286" s="43">
        <f t="shared" si="260"/>
        <v>5.0000000000000003E-10</v>
      </c>
      <c r="J286" s="43">
        <f t="shared" si="260"/>
        <v>6E-10</v>
      </c>
      <c r="K286" s="43">
        <f t="shared" si="260"/>
        <v>6.9999999999999996E-10</v>
      </c>
      <c r="L286" s="43">
        <f t="shared" si="260"/>
        <v>8.0000000000000003E-10</v>
      </c>
      <c r="M286" s="43">
        <f t="shared" si="260"/>
        <v>8.9999999999999999E-10</v>
      </c>
      <c r="N286" s="43">
        <f t="shared" si="260"/>
        <v>9.5000000000000003E-10</v>
      </c>
    </row>
    <row r="287" spans="1:20">
      <c r="A287" s="43" t="s">
        <v>959</v>
      </c>
      <c r="B287" s="43" t="s">
        <v>960</v>
      </c>
      <c r="C287" s="162" t="s">
        <v>214</v>
      </c>
      <c r="D287" s="57">
        <f>LARGE(E287:N287, 1)+LARGE(E287:N287, 2)+LARGE(E287:N287, 3)+LARGE(E287:N287, 4)+LARGE(E287:N287, 5)</f>
        <v>3.9500000000000006E-9</v>
      </c>
      <c r="E287" s="43">
        <f>C8</f>
        <v>1E-10</v>
      </c>
      <c r="F287" s="43">
        <f>D8</f>
        <v>2.0000000000000001E-10</v>
      </c>
      <c r="G287" s="43">
        <f t="shared" ref="G287:N287" si="261">E8</f>
        <v>3E-10</v>
      </c>
      <c r="H287" s="43">
        <f t="shared" si="261"/>
        <v>4.0000000000000001E-10</v>
      </c>
      <c r="I287" s="43">
        <f t="shared" si="261"/>
        <v>5.0000000000000003E-10</v>
      </c>
      <c r="J287" s="43">
        <f t="shared" si="261"/>
        <v>6E-10</v>
      </c>
      <c r="K287" s="43">
        <f t="shared" si="261"/>
        <v>6.9999999999999996E-10</v>
      </c>
      <c r="L287" s="43">
        <f t="shared" si="261"/>
        <v>8.0000000000000003E-10</v>
      </c>
      <c r="M287" s="43">
        <f t="shared" si="261"/>
        <v>8.9999999999999999E-10</v>
      </c>
      <c r="N287" s="43">
        <f t="shared" si="261"/>
        <v>9.5000000000000003E-10</v>
      </c>
    </row>
    <row r="289" spans="1:21" ht="16.5">
      <c r="A289" s="77" t="s">
        <v>1035</v>
      </c>
      <c r="B289" s="49"/>
      <c r="C289" s="163"/>
      <c r="D289" s="49" t="str">
        <f t="shared" ref="D289:N289" si="262">B1</f>
        <v>總分</v>
      </c>
      <c r="E289" s="43" t="str">
        <f t="shared" si="262"/>
        <v>中國語文</v>
      </c>
      <c r="F289" s="43" t="str">
        <f t="shared" si="262"/>
        <v>英國語文</v>
      </c>
      <c r="G289" s="43" t="str">
        <f t="shared" si="262"/>
        <v>數學</v>
      </c>
      <c r="H289" s="43" t="str">
        <f t="shared" si="262"/>
        <v>通識教育</v>
      </c>
      <c r="I289" s="43" t="str">
        <f t="shared" si="262"/>
        <v>數學延伸</v>
      </c>
      <c r="J289" s="43" t="str">
        <f t="shared" si="262"/>
        <v>請選擇第一選修科</v>
      </c>
      <c r="K289" s="43" t="str">
        <f t="shared" si="262"/>
        <v>請選擇第二選修科</v>
      </c>
      <c r="L289" s="43" t="str">
        <f t="shared" si="262"/>
        <v>請選擇第三選修科</v>
      </c>
      <c r="M289" s="43" t="str">
        <f t="shared" si="262"/>
        <v>請選擇第四選修科</v>
      </c>
      <c r="N289" s="43" t="str">
        <f t="shared" si="262"/>
        <v>請選擇語言科目</v>
      </c>
    </row>
    <row r="290" spans="1:21">
      <c r="A290" s="49" t="s">
        <v>1002</v>
      </c>
      <c r="B290" s="49" t="s">
        <v>967</v>
      </c>
      <c r="C290" s="163" t="s">
        <v>214</v>
      </c>
      <c r="D290" s="49">
        <f>LARGE(E290:Q290, 1)+LARGE(E290:Q290, 2)+LARGE(E290:Q290, 3)+LARGE(E290:Q290, 4)+LARGE(E290:Q290, 5)</f>
        <v>3.9500000000000006E-9</v>
      </c>
      <c r="E290" s="43">
        <f>C9*1.5</f>
        <v>1.5E-10</v>
      </c>
      <c r="F290" s="43">
        <f>D9*1.5</f>
        <v>3E-10</v>
      </c>
      <c r="G290" s="43">
        <f>E9</f>
        <v>3E-10</v>
      </c>
      <c r="H290" s="43">
        <f>F9</f>
        <v>4.0000000000000001E-10</v>
      </c>
      <c r="I290" s="57" t="s">
        <v>899</v>
      </c>
      <c r="J290" s="43">
        <f>IF(OR(J289="中國歷史",J289="中國文學"),0,H9)</f>
        <v>6E-10</v>
      </c>
      <c r="K290" s="43">
        <f>IF(OR(K289="中國歷史",K289="中國文學"),0,I9)</f>
        <v>6.9999999999999996E-10</v>
      </c>
      <c r="L290" s="43">
        <f>IF(OR(L289="中國歷史",L289="中國文學"),0,J9)</f>
        <v>8.0000000000000003E-10</v>
      </c>
      <c r="M290" s="43">
        <f>IF(OR(M289="中國歷史",M289="中國文學"),0,K9)</f>
        <v>8.9999999999999999E-10</v>
      </c>
      <c r="N290" s="43">
        <f>L9</f>
        <v>9.5000000000000003E-10</v>
      </c>
      <c r="P290" s="43">
        <f>IF(S290&gt;U290,S290,U290)</f>
        <v>0</v>
      </c>
      <c r="Q290" s="43">
        <f>IF(AND(S290&gt;0,U290&gt;0),IF(S290&gt;U290,U290/1.5,S290/1.5),0)</f>
        <v>0</v>
      </c>
      <c r="R290" s="43" t="s">
        <v>1036</v>
      </c>
      <c r="S290" s="43">
        <f>IF(H1="中國歷史",H9*1.5,IF(I1="中國歷史",I9*1.5,IF(J1="中國歷史",J9*1.5,IF(K1="中國歷史",K9*1.5,0))))</f>
        <v>0</v>
      </c>
      <c r="T290" s="43" t="s">
        <v>7</v>
      </c>
      <c r="U290" s="43">
        <f>IF(H1="中國文學",H9*1.5,IF(I1="中國文學",I9*1.5,IF(J1="中國文學",J9*1.5,IF(K1="中國文學",K9*1.5,0))))</f>
        <v>0</v>
      </c>
    </row>
    <row r="291" spans="1:21">
      <c r="A291" s="49" t="s">
        <v>1013</v>
      </c>
      <c r="B291" s="49" t="s">
        <v>989</v>
      </c>
      <c r="C291" s="163" t="s">
        <v>214</v>
      </c>
      <c r="D291" s="49">
        <f t="shared" ref="D291:D296" si="263">LARGE(E291:N291, 1)+LARGE(E291:N291, 2)+LARGE(E291:N291, 3)+LARGE(E291:N291, 4)+LARGE(E291:N291, 5)</f>
        <v>3.9500000000000006E-9</v>
      </c>
      <c r="E291" s="43">
        <f>C9</f>
        <v>1E-10</v>
      </c>
      <c r="F291" s="43">
        <f>D9*2</f>
        <v>4.0000000000000001E-10</v>
      </c>
      <c r="G291" s="43">
        <f>E9</f>
        <v>3E-10</v>
      </c>
      <c r="H291" s="43">
        <f>F9*1.5</f>
        <v>6E-10</v>
      </c>
      <c r="I291" s="57" t="s">
        <v>899</v>
      </c>
      <c r="J291" s="43">
        <f>H9</f>
        <v>6E-10</v>
      </c>
      <c r="K291" s="43">
        <f>I9</f>
        <v>6.9999999999999996E-10</v>
      </c>
      <c r="L291" s="43">
        <f>J9</f>
        <v>8.0000000000000003E-10</v>
      </c>
      <c r="M291" s="43">
        <f>K9</f>
        <v>8.9999999999999999E-10</v>
      </c>
      <c r="N291" s="43">
        <f>L9</f>
        <v>9.5000000000000003E-10</v>
      </c>
    </row>
    <row r="292" spans="1:21">
      <c r="A292" s="49" t="s">
        <v>1009</v>
      </c>
      <c r="B292" s="49" t="s">
        <v>981</v>
      </c>
      <c r="C292" s="163" t="s">
        <v>214</v>
      </c>
      <c r="D292" s="49">
        <f t="shared" si="263"/>
        <v>3.9500000000000006E-9</v>
      </c>
      <c r="E292" s="43">
        <f>C9</f>
        <v>1E-10</v>
      </c>
      <c r="F292" s="43">
        <f>D9*2</f>
        <v>4.0000000000000001E-10</v>
      </c>
      <c r="G292" s="43">
        <f>E9*1.5</f>
        <v>4.5E-10</v>
      </c>
      <c r="H292" s="43">
        <f>F9</f>
        <v>4.0000000000000001E-10</v>
      </c>
      <c r="I292" s="57" t="s">
        <v>899</v>
      </c>
      <c r="J292" s="43">
        <f>H9</f>
        <v>6E-10</v>
      </c>
      <c r="K292" s="43">
        <f>I9</f>
        <v>6.9999999999999996E-10</v>
      </c>
      <c r="L292" s="43">
        <f>J9</f>
        <v>8.0000000000000003E-10</v>
      </c>
      <c r="M292" s="43">
        <f>K9</f>
        <v>8.9999999999999999E-10</v>
      </c>
      <c r="N292" s="43">
        <f>L9</f>
        <v>9.5000000000000003E-10</v>
      </c>
    </row>
    <row r="293" spans="1:21">
      <c r="A293" s="49" t="s">
        <v>1003</v>
      </c>
      <c r="B293" s="49" t="s">
        <v>969</v>
      </c>
      <c r="C293" s="163" t="s">
        <v>214</v>
      </c>
      <c r="D293" s="49">
        <f t="shared" si="263"/>
        <v>3.9500000000000006E-9</v>
      </c>
      <c r="E293" s="43">
        <f>C9*1.5</f>
        <v>1.5E-10</v>
      </c>
      <c r="F293" s="43">
        <f>D9*2</f>
        <v>4.0000000000000001E-10</v>
      </c>
      <c r="G293" s="43">
        <f>E9</f>
        <v>3E-10</v>
      </c>
      <c r="H293" s="43">
        <f>F9</f>
        <v>4.0000000000000001E-10</v>
      </c>
      <c r="I293" s="57" t="s">
        <v>899</v>
      </c>
      <c r="J293" s="43">
        <f>IF(OR(J289="英語文學",J289="中國文學"),H9*1.5,H9)</f>
        <v>6E-10</v>
      </c>
      <c r="K293" s="43">
        <f>IF(OR(K289="英語文學",K289="中國文學"),I9*1.5,I9)</f>
        <v>6.9999999999999996E-10</v>
      </c>
      <c r="L293" s="43">
        <f>IF(OR(L289="英語文學",L289="中國文學"),J9*1.5,J9)</f>
        <v>8.0000000000000003E-10</v>
      </c>
      <c r="M293" s="43">
        <f>IF(OR(M289="英語文學",M289="中國文學"),K9*1.5,K9)</f>
        <v>8.9999999999999999E-10</v>
      </c>
      <c r="N293" s="43">
        <f>L9</f>
        <v>9.5000000000000003E-10</v>
      </c>
    </row>
    <row r="294" spans="1:21">
      <c r="A294" s="49" t="s">
        <v>1010</v>
      </c>
      <c r="B294" s="49" t="s">
        <v>983</v>
      </c>
      <c r="C294" s="163" t="s">
        <v>214</v>
      </c>
      <c r="D294" s="49">
        <f t="shared" si="263"/>
        <v>3.9500000000000006E-9</v>
      </c>
      <c r="E294" s="43">
        <f>C9</f>
        <v>1E-10</v>
      </c>
      <c r="F294" s="43">
        <f>D9*2</f>
        <v>4.0000000000000001E-10</v>
      </c>
      <c r="G294" s="43">
        <f>E9*1.5</f>
        <v>4.5E-10</v>
      </c>
      <c r="H294" s="43">
        <f>F9</f>
        <v>4.0000000000000001E-10</v>
      </c>
      <c r="I294" s="57" t="s">
        <v>899</v>
      </c>
      <c r="J294" s="43">
        <f>H9</f>
        <v>6E-10</v>
      </c>
      <c r="K294" s="43">
        <f>I9</f>
        <v>6.9999999999999996E-10</v>
      </c>
      <c r="L294" s="43">
        <f>J9</f>
        <v>8.0000000000000003E-10</v>
      </c>
      <c r="M294" s="43">
        <f>K9</f>
        <v>8.9999999999999999E-10</v>
      </c>
      <c r="N294" s="43">
        <f>L9</f>
        <v>9.5000000000000003E-10</v>
      </c>
    </row>
    <row r="295" spans="1:21">
      <c r="A295" s="49" t="s">
        <v>1011</v>
      </c>
      <c r="B295" s="49" t="s">
        <v>985</v>
      </c>
      <c r="C295" s="163" t="s">
        <v>214</v>
      </c>
      <c r="D295" s="49">
        <f t="shared" si="263"/>
        <v>3.9500000000000006E-9</v>
      </c>
      <c r="E295" s="43">
        <f>C9</f>
        <v>1E-10</v>
      </c>
      <c r="F295" s="43">
        <f>D9*2</f>
        <v>4.0000000000000001E-10</v>
      </c>
      <c r="G295" s="43">
        <f>E9*2</f>
        <v>6E-10</v>
      </c>
      <c r="H295" s="43">
        <f>F9</f>
        <v>4.0000000000000001E-10</v>
      </c>
      <c r="I295" s="57" t="s">
        <v>899</v>
      </c>
      <c r="J295" s="43">
        <f>IF(OR(J289="化學",J289="物理",J289="組合科學 (物理、化學)",J289="組合科學 (生物、化學)",J289="組合科學 (物理、生物)",J289="綜合科學"),H9*1.25,IF(J289="資訊及通訊科技",H9*2,H9))</f>
        <v>6E-10</v>
      </c>
      <c r="K295" s="43">
        <f>IF(OR(K289="化學",K289="物理",K289="組合科學 (物理、化學)",K289="組合科學 (生物、化學)",K289="組合科學 (物理、生物)",K289="綜合科學"),I9*1.25,IF(K289="資訊及通訊科技",I9*2,I9))</f>
        <v>6.9999999999999996E-10</v>
      </c>
      <c r="L295" s="43">
        <f>IF(OR(L289="化學",L289="物理",L289="組合科學 (物理、化學)",L289="組合科學 (生物、化學)",L289="組合科學 (物理、生物)",L289="綜合科學"),J9*1.25,IF(L289="資訊及通訊科技",J9*2,J9))</f>
        <v>8.0000000000000003E-10</v>
      </c>
      <c r="M295" s="43">
        <f>IF(OR(M289="化學",M289="物理",M289="組合科學 (物理、化學)",M289="組合科學 (生物、化學)",M289="組合科學 (物理、生物)",M289="綜合科學"),K9*1.25,IF(M289="資訊科技",K9*2,K9))</f>
        <v>8.9999999999999999E-10</v>
      </c>
      <c r="N295" s="43">
        <f>L9</f>
        <v>9.5000000000000003E-10</v>
      </c>
    </row>
    <row r="296" spans="1:21">
      <c r="A296" s="49" t="s">
        <v>1012</v>
      </c>
      <c r="B296" s="49" t="s">
        <v>987</v>
      </c>
      <c r="C296" s="163" t="s">
        <v>214</v>
      </c>
      <c r="D296" s="49">
        <f t="shared" si="263"/>
        <v>3.9500000000000006E-9</v>
      </c>
      <c r="E296" s="43">
        <f>C9</f>
        <v>1E-10</v>
      </c>
      <c r="F296" s="43">
        <f>D9*2</f>
        <v>4.0000000000000001E-10</v>
      </c>
      <c r="G296" s="43">
        <f>E9*1.5</f>
        <v>4.5E-10</v>
      </c>
      <c r="H296" s="43">
        <f>F9*1.5</f>
        <v>6E-10</v>
      </c>
      <c r="I296" s="57" t="s">
        <v>899</v>
      </c>
      <c r="J296" s="43">
        <f>H9</f>
        <v>6E-10</v>
      </c>
      <c r="K296" s="43">
        <f>I9</f>
        <v>6.9999999999999996E-10</v>
      </c>
      <c r="L296" s="43">
        <f>J9</f>
        <v>8.0000000000000003E-10</v>
      </c>
      <c r="M296" s="43">
        <f>K9</f>
        <v>8.9999999999999999E-10</v>
      </c>
      <c r="N296" s="43">
        <f>L9</f>
        <v>9.5000000000000003E-10</v>
      </c>
    </row>
    <row r="297" spans="1:21">
      <c r="A297" s="49" t="s">
        <v>1004</v>
      </c>
      <c r="B297" s="49" t="s">
        <v>971</v>
      </c>
      <c r="C297" s="163" t="s">
        <v>214</v>
      </c>
      <c r="D297" s="49">
        <f t="shared" ref="D297:D301" si="264">LARGE(E297:N297, 1)+LARGE(E297:N297, 2)+LARGE(E297:N297, 3)+LARGE(E297:N297, 4)+LARGE(E297:N297, 5)</f>
        <v>3.9500000000000006E-9</v>
      </c>
      <c r="E297" s="43">
        <f>C9*1.5</f>
        <v>1.5E-10</v>
      </c>
      <c r="F297" s="43">
        <f>D9*2</f>
        <v>4.0000000000000001E-10</v>
      </c>
      <c r="G297" s="43">
        <f>E9</f>
        <v>3E-10</v>
      </c>
      <c r="H297" s="43">
        <f>F9</f>
        <v>4.0000000000000001E-10</v>
      </c>
      <c r="I297" s="57" t="s">
        <v>899</v>
      </c>
      <c r="J297" s="43">
        <f>H9</f>
        <v>6E-10</v>
      </c>
      <c r="K297" s="43">
        <f>I9</f>
        <v>6.9999999999999996E-10</v>
      </c>
      <c r="L297" s="43">
        <f>J9</f>
        <v>8.0000000000000003E-10</v>
      </c>
      <c r="M297" s="43">
        <f>K9</f>
        <v>8.9999999999999999E-10</v>
      </c>
      <c r="N297" s="43">
        <f>L9</f>
        <v>9.5000000000000003E-10</v>
      </c>
    </row>
    <row r="298" spans="1:21">
      <c r="A298" s="49" t="s">
        <v>1005</v>
      </c>
      <c r="B298" s="49" t="s">
        <v>973</v>
      </c>
      <c r="C298" s="163" t="s">
        <v>214</v>
      </c>
      <c r="D298" s="49">
        <f t="shared" si="264"/>
        <v>3.9500000000000006E-9</v>
      </c>
      <c r="E298" s="43">
        <f>C9*1.5</f>
        <v>1.5E-10</v>
      </c>
      <c r="F298" s="43">
        <f>D9*2</f>
        <v>4.0000000000000001E-10</v>
      </c>
      <c r="G298" s="43">
        <f>E9</f>
        <v>3E-10</v>
      </c>
      <c r="H298" s="43">
        <f>F9</f>
        <v>4.0000000000000001E-10</v>
      </c>
      <c r="I298" s="57" t="s">
        <v>899</v>
      </c>
      <c r="J298" s="43">
        <f>H9</f>
        <v>6E-10</v>
      </c>
      <c r="K298" s="43">
        <f>I9</f>
        <v>6.9999999999999996E-10</v>
      </c>
      <c r="L298" s="43">
        <f>J9</f>
        <v>8.0000000000000003E-10</v>
      </c>
      <c r="M298" s="43">
        <f>K9</f>
        <v>8.9999999999999999E-10</v>
      </c>
      <c r="N298" s="43">
        <f>L9</f>
        <v>9.5000000000000003E-10</v>
      </c>
    </row>
    <row r="299" spans="1:21">
      <c r="A299" s="49" t="s">
        <v>1006</v>
      </c>
      <c r="B299" s="49" t="s">
        <v>975</v>
      </c>
      <c r="C299" s="163" t="s">
        <v>214</v>
      </c>
      <c r="D299" s="49">
        <f t="shared" si="264"/>
        <v>3.9500000000000006E-9</v>
      </c>
      <c r="E299" s="43">
        <f>C9*1.5</f>
        <v>1.5E-10</v>
      </c>
      <c r="F299" s="43">
        <f>D9*2</f>
        <v>4.0000000000000001E-10</v>
      </c>
      <c r="G299" s="43">
        <f>E9</f>
        <v>3E-10</v>
      </c>
      <c r="H299" s="43">
        <f>F9</f>
        <v>4.0000000000000001E-10</v>
      </c>
      <c r="I299" s="57" t="s">
        <v>899</v>
      </c>
      <c r="J299" s="43">
        <f>IF(OR(J289="歷史",J289="中國歷史"),H9*1.2,H9)</f>
        <v>6E-10</v>
      </c>
      <c r="K299" s="43">
        <f>IF(OR(K289="歷史",K289="中國歷史"),I9*1.2,I9)</f>
        <v>6.9999999999999996E-10</v>
      </c>
      <c r="L299" s="43">
        <f>IF(OR(L289="歷史",L289="中國歷史"),J9*1.2,J9)</f>
        <v>8.0000000000000003E-10</v>
      </c>
      <c r="M299" s="43">
        <f>IF(OR(M289="歷史",M289="中國歷史"),K9*1.2,K9)</f>
        <v>8.9999999999999999E-10</v>
      </c>
      <c r="N299" s="43">
        <f>L9</f>
        <v>9.5000000000000003E-10</v>
      </c>
    </row>
    <row r="300" spans="1:21">
      <c r="A300" s="49" t="s">
        <v>1007</v>
      </c>
      <c r="B300" s="49" t="s">
        <v>977</v>
      </c>
      <c r="C300" s="163" t="s">
        <v>214</v>
      </c>
      <c r="D300" s="49">
        <f t="shared" si="264"/>
        <v>3.9500000000000006E-9</v>
      </c>
      <c r="E300" s="43">
        <f>C9*1.5</f>
        <v>1.5E-10</v>
      </c>
      <c r="F300" s="43">
        <f>D9*2</f>
        <v>4.0000000000000001E-10</v>
      </c>
      <c r="G300" s="43">
        <f>E9*1.5</f>
        <v>4.5E-10</v>
      </c>
      <c r="H300" s="43">
        <f>F9</f>
        <v>4.0000000000000001E-10</v>
      </c>
      <c r="I300" s="57" t="s">
        <v>899</v>
      </c>
      <c r="J300" s="43">
        <f>H9</f>
        <v>6E-10</v>
      </c>
      <c r="K300" s="43">
        <f>I9</f>
        <v>6.9999999999999996E-10</v>
      </c>
      <c r="L300" s="43">
        <f>J9</f>
        <v>8.0000000000000003E-10</v>
      </c>
      <c r="M300" s="43">
        <f>K9</f>
        <v>8.9999999999999999E-10</v>
      </c>
      <c r="N300" s="43">
        <f>L9</f>
        <v>9.5000000000000003E-10</v>
      </c>
    </row>
    <row r="301" spans="1:21">
      <c r="A301" s="49" t="s">
        <v>1008</v>
      </c>
      <c r="B301" s="49" t="s">
        <v>979</v>
      </c>
      <c r="C301" s="163" t="s">
        <v>214</v>
      </c>
      <c r="D301" s="49">
        <f t="shared" si="264"/>
        <v>3.9500000000000006E-9</v>
      </c>
      <c r="E301" s="43">
        <f>C9*1.5</f>
        <v>1.5E-10</v>
      </c>
      <c r="F301" s="43">
        <f>D9*2</f>
        <v>4.0000000000000001E-10</v>
      </c>
      <c r="G301" s="43">
        <f>E9</f>
        <v>3E-10</v>
      </c>
      <c r="H301" s="43">
        <f>F9</f>
        <v>4.0000000000000001E-10</v>
      </c>
      <c r="I301" s="57" t="s">
        <v>899</v>
      </c>
      <c r="J301" s="43">
        <f>H9</f>
        <v>6E-10</v>
      </c>
      <c r="K301" s="43">
        <f>I9</f>
        <v>6.9999999999999996E-10</v>
      </c>
      <c r="L301" s="43">
        <f>J9</f>
        <v>8.0000000000000003E-10</v>
      </c>
      <c r="M301" s="43">
        <f>K9</f>
        <v>8.9999999999999999E-10</v>
      </c>
      <c r="N301" s="43">
        <f>L9</f>
        <v>9.5000000000000003E-10</v>
      </c>
    </row>
    <row r="303" spans="1:21" ht="16.5">
      <c r="A303" s="77" t="s">
        <v>1136</v>
      </c>
      <c r="B303" s="49"/>
      <c r="C303" s="163"/>
      <c r="D303" s="49" t="str">
        <f>B1</f>
        <v>總分</v>
      </c>
      <c r="E303" s="49" t="str">
        <f t="shared" ref="E303:N303" si="265">C1</f>
        <v>中國語文</v>
      </c>
      <c r="F303" s="49" t="str">
        <f t="shared" si="265"/>
        <v>英國語文</v>
      </c>
      <c r="G303" s="49" t="str">
        <f t="shared" si="265"/>
        <v>數學</v>
      </c>
      <c r="H303" s="49" t="str">
        <f t="shared" si="265"/>
        <v>通識教育</v>
      </c>
      <c r="I303" s="49" t="str">
        <f t="shared" si="265"/>
        <v>數學延伸</v>
      </c>
      <c r="J303" s="49" t="str">
        <f>H1</f>
        <v>請選擇第一選修科</v>
      </c>
      <c r="K303" s="49" t="str">
        <f t="shared" si="265"/>
        <v>請選擇第二選修科</v>
      </c>
      <c r="L303" s="49" t="str">
        <f t="shared" si="265"/>
        <v>請選擇第三選修科</v>
      </c>
      <c r="M303" s="49" t="str">
        <f t="shared" si="265"/>
        <v>請選擇第四選修科</v>
      </c>
      <c r="N303" s="49" t="str">
        <f t="shared" si="265"/>
        <v>請選擇語言科目</v>
      </c>
    </row>
    <row r="304" spans="1:21">
      <c r="A304" s="49" t="s">
        <v>1037</v>
      </c>
      <c r="B304" s="163" t="s">
        <v>242</v>
      </c>
      <c r="C304" s="163" t="s">
        <v>1130</v>
      </c>
      <c r="D304" s="43">
        <f>SUM(E304:H304)+LARGE((I304:N304),1)</f>
        <v>1.9500000000000001E-9</v>
      </c>
      <c r="E304" s="43">
        <f t="shared" ref="E304:N304" si="266">C10</f>
        <v>1E-10</v>
      </c>
      <c r="F304" s="43">
        <f t="shared" si="266"/>
        <v>2.0000000000000001E-10</v>
      </c>
      <c r="G304" s="43">
        <f t="shared" si="266"/>
        <v>3E-10</v>
      </c>
      <c r="H304" s="43">
        <f t="shared" si="266"/>
        <v>4.0000000000000001E-10</v>
      </c>
      <c r="I304" s="43">
        <f t="shared" si="266"/>
        <v>5.0000000000000003E-10</v>
      </c>
      <c r="J304" s="43">
        <f t="shared" si="266"/>
        <v>6E-10</v>
      </c>
      <c r="K304" s="43">
        <f t="shared" si="266"/>
        <v>6.9999999999999996E-10</v>
      </c>
      <c r="L304" s="43">
        <f t="shared" si="266"/>
        <v>8.0000000000000003E-10</v>
      </c>
      <c r="M304" s="43">
        <f t="shared" si="266"/>
        <v>8.9999999999999999E-10</v>
      </c>
      <c r="N304" s="43">
        <f t="shared" si="266"/>
        <v>9.5000000000000003E-10</v>
      </c>
    </row>
    <row r="305" spans="1:14">
      <c r="A305" s="43" t="s">
        <v>1038</v>
      </c>
      <c r="B305" s="162" t="s">
        <v>1067</v>
      </c>
      <c r="C305" s="309" t="s">
        <v>220</v>
      </c>
      <c r="D305" s="43">
        <f>SUM(E305:H305)+LARGE((I305:N305),1)+LARGE((I305:N305),2)</f>
        <v>2.8499999999999999E-9</v>
      </c>
      <c r="E305" s="43">
        <f t="shared" ref="E305:N305" si="267">C10</f>
        <v>1E-10</v>
      </c>
      <c r="F305" s="43">
        <f t="shared" si="267"/>
        <v>2.0000000000000001E-10</v>
      </c>
      <c r="G305" s="43">
        <f t="shared" si="267"/>
        <v>3E-10</v>
      </c>
      <c r="H305" s="43">
        <f t="shared" si="267"/>
        <v>4.0000000000000001E-10</v>
      </c>
      <c r="I305" s="43">
        <f t="shared" si="267"/>
        <v>5.0000000000000003E-10</v>
      </c>
      <c r="J305" s="43">
        <f t="shared" si="267"/>
        <v>6E-10</v>
      </c>
      <c r="K305" s="43">
        <f t="shared" si="267"/>
        <v>6.9999999999999996E-10</v>
      </c>
      <c r="L305" s="43">
        <f t="shared" si="267"/>
        <v>8.0000000000000003E-10</v>
      </c>
      <c r="M305" s="43">
        <f t="shared" si="267"/>
        <v>8.9999999999999999E-10</v>
      </c>
      <c r="N305" s="43">
        <f t="shared" si="267"/>
        <v>9.5000000000000003E-10</v>
      </c>
    </row>
    <row r="306" spans="1:14">
      <c r="A306" s="43" t="s">
        <v>1039</v>
      </c>
      <c r="B306" s="162" t="s">
        <v>1069</v>
      </c>
      <c r="C306" s="309"/>
      <c r="D306" s="43">
        <f>SUM(E306:H306)+LARGE((I306:N306),1)+LARGE((I306:N306),2)</f>
        <v>2.8499999999999999E-9</v>
      </c>
      <c r="E306" s="43">
        <f t="shared" ref="E306:N306" si="268">C10</f>
        <v>1E-10</v>
      </c>
      <c r="F306" s="43">
        <f t="shared" si="268"/>
        <v>2.0000000000000001E-10</v>
      </c>
      <c r="G306" s="43">
        <f t="shared" si="268"/>
        <v>3E-10</v>
      </c>
      <c r="H306" s="43">
        <f t="shared" si="268"/>
        <v>4.0000000000000001E-10</v>
      </c>
      <c r="I306" s="43">
        <f t="shared" si="268"/>
        <v>5.0000000000000003E-10</v>
      </c>
      <c r="J306" s="43">
        <f t="shared" si="268"/>
        <v>6E-10</v>
      </c>
      <c r="K306" s="43">
        <f t="shared" si="268"/>
        <v>6.9999999999999996E-10</v>
      </c>
      <c r="L306" s="43">
        <f t="shared" si="268"/>
        <v>8.0000000000000003E-10</v>
      </c>
      <c r="M306" s="43">
        <f t="shared" si="268"/>
        <v>8.9999999999999999E-10</v>
      </c>
      <c r="N306" s="43">
        <f t="shared" si="268"/>
        <v>9.5000000000000003E-10</v>
      </c>
    </row>
    <row r="307" spans="1:14">
      <c r="A307" s="43" t="s">
        <v>1040</v>
      </c>
      <c r="B307" s="162" t="s">
        <v>1071</v>
      </c>
      <c r="C307" s="309"/>
      <c r="D307" s="43">
        <f t="shared" ref="D307:D310" si="269">SUM(E307:H307)+LARGE((I307:N307),1)+LARGE((I307:N307),2)</f>
        <v>2.8499999999999999E-9</v>
      </c>
      <c r="E307" s="43">
        <f t="shared" ref="E307:N307" si="270">C10</f>
        <v>1E-10</v>
      </c>
      <c r="F307" s="43">
        <f t="shared" si="270"/>
        <v>2.0000000000000001E-10</v>
      </c>
      <c r="G307" s="43">
        <f t="shared" si="270"/>
        <v>3E-10</v>
      </c>
      <c r="H307" s="43">
        <f t="shared" si="270"/>
        <v>4.0000000000000001E-10</v>
      </c>
      <c r="I307" s="43">
        <f t="shared" si="270"/>
        <v>5.0000000000000003E-10</v>
      </c>
      <c r="J307" s="43">
        <f t="shared" si="270"/>
        <v>6E-10</v>
      </c>
      <c r="K307" s="43">
        <f t="shared" si="270"/>
        <v>6.9999999999999996E-10</v>
      </c>
      <c r="L307" s="43">
        <f t="shared" si="270"/>
        <v>8.0000000000000003E-10</v>
      </c>
      <c r="M307" s="43">
        <f t="shared" si="270"/>
        <v>8.9999999999999999E-10</v>
      </c>
      <c r="N307" s="43">
        <f t="shared" si="270"/>
        <v>9.5000000000000003E-10</v>
      </c>
    </row>
    <row r="308" spans="1:14">
      <c r="A308" s="43" t="s">
        <v>1041</v>
      </c>
      <c r="B308" s="162" t="s">
        <v>1073</v>
      </c>
      <c r="C308" s="309"/>
      <c r="D308" s="43">
        <f t="shared" si="269"/>
        <v>2.8499999999999999E-9</v>
      </c>
      <c r="E308" s="43">
        <f t="shared" ref="E308:N308" si="271">C10</f>
        <v>1E-10</v>
      </c>
      <c r="F308" s="43">
        <f t="shared" si="271"/>
        <v>2.0000000000000001E-10</v>
      </c>
      <c r="G308" s="43">
        <f t="shared" si="271"/>
        <v>3E-10</v>
      </c>
      <c r="H308" s="43">
        <f t="shared" si="271"/>
        <v>4.0000000000000001E-10</v>
      </c>
      <c r="I308" s="43">
        <f t="shared" si="271"/>
        <v>5.0000000000000003E-10</v>
      </c>
      <c r="J308" s="43">
        <f t="shared" si="271"/>
        <v>6E-10</v>
      </c>
      <c r="K308" s="43">
        <f t="shared" si="271"/>
        <v>6.9999999999999996E-10</v>
      </c>
      <c r="L308" s="43">
        <f t="shared" si="271"/>
        <v>8.0000000000000003E-10</v>
      </c>
      <c r="M308" s="43">
        <f t="shared" si="271"/>
        <v>8.9999999999999999E-10</v>
      </c>
      <c r="N308" s="43">
        <f t="shared" si="271"/>
        <v>9.5000000000000003E-10</v>
      </c>
    </row>
    <row r="309" spans="1:14">
      <c r="A309" s="43" t="s">
        <v>1042</v>
      </c>
      <c r="B309" s="162" t="s">
        <v>1075</v>
      </c>
      <c r="C309" s="309"/>
      <c r="D309" s="43">
        <f>SUM(E309:H309)+LARGE((I309:N309),1)+LARGE((I309:N309),2)</f>
        <v>2.8499999999999999E-9</v>
      </c>
      <c r="E309" s="43">
        <f t="shared" ref="E309:N309" si="272">C10</f>
        <v>1E-10</v>
      </c>
      <c r="F309" s="43">
        <f t="shared" si="272"/>
        <v>2.0000000000000001E-10</v>
      </c>
      <c r="G309" s="43">
        <f t="shared" si="272"/>
        <v>3E-10</v>
      </c>
      <c r="H309" s="43">
        <f t="shared" si="272"/>
        <v>4.0000000000000001E-10</v>
      </c>
      <c r="I309" s="43">
        <f t="shared" si="272"/>
        <v>5.0000000000000003E-10</v>
      </c>
      <c r="J309" s="43">
        <f t="shared" si="272"/>
        <v>6E-10</v>
      </c>
      <c r="K309" s="43">
        <f t="shared" si="272"/>
        <v>6.9999999999999996E-10</v>
      </c>
      <c r="L309" s="43">
        <f t="shared" si="272"/>
        <v>8.0000000000000003E-10</v>
      </c>
      <c r="M309" s="43">
        <f t="shared" si="272"/>
        <v>8.9999999999999999E-10</v>
      </c>
      <c r="N309" s="43">
        <f t="shared" si="272"/>
        <v>9.5000000000000003E-10</v>
      </c>
    </row>
    <row r="310" spans="1:14">
      <c r="A310" s="43" t="s">
        <v>1043</v>
      </c>
      <c r="B310" s="162" t="s">
        <v>1077</v>
      </c>
      <c r="C310" s="309"/>
      <c r="D310" s="43">
        <f t="shared" si="269"/>
        <v>2.8499999999999999E-9</v>
      </c>
      <c r="E310" s="43">
        <f t="shared" ref="E310:N310" si="273">C10</f>
        <v>1E-10</v>
      </c>
      <c r="F310" s="43">
        <f t="shared" si="273"/>
        <v>2.0000000000000001E-10</v>
      </c>
      <c r="G310" s="43">
        <f t="shared" si="273"/>
        <v>3E-10</v>
      </c>
      <c r="H310" s="43">
        <f t="shared" si="273"/>
        <v>4.0000000000000001E-10</v>
      </c>
      <c r="I310" s="43">
        <f t="shared" si="273"/>
        <v>5.0000000000000003E-10</v>
      </c>
      <c r="J310" s="43">
        <f t="shared" si="273"/>
        <v>6E-10</v>
      </c>
      <c r="K310" s="43">
        <f t="shared" si="273"/>
        <v>6.9999999999999996E-10</v>
      </c>
      <c r="L310" s="43">
        <f t="shared" si="273"/>
        <v>8.0000000000000003E-10</v>
      </c>
      <c r="M310" s="43">
        <f t="shared" si="273"/>
        <v>8.9999999999999999E-10</v>
      </c>
      <c r="N310" s="43">
        <f t="shared" si="273"/>
        <v>9.5000000000000003E-10</v>
      </c>
    </row>
    <row r="311" spans="1:14">
      <c r="A311" s="43" t="s">
        <v>1044</v>
      </c>
      <c r="B311" s="162" t="s">
        <v>1079</v>
      </c>
      <c r="C311" s="163" t="s">
        <v>1130</v>
      </c>
      <c r="D311" s="43">
        <f>SUM(E311:H311)+LARGE((I311:N311),1)</f>
        <v>1.9500000000000001E-9</v>
      </c>
      <c r="E311" s="43">
        <f t="shared" ref="E311:N311" si="274">C10</f>
        <v>1E-10</v>
      </c>
      <c r="F311" s="43">
        <f t="shared" si="274"/>
        <v>2.0000000000000001E-10</v>
      </c>
      <c r="G311" s="43">
        <f t="shared" si="274"/>
        <v>3E-10</v>
      </c>
      <c r="H311" s="43">
        <f t="shared" si="274"/>
        <v>4.0000000000000001E-10</v>
      </c>
      <c r="I311" s="43">
        <f t="shared" si="274"/>
        <v>5.0000000000000003E-10</v>
      </c>
      <c r="J311" s="43">
        <f t="shared" si="274"/>
        <v>6E-10</v>
      </c>
      <c r="K311" s="43">
        <f t="shared" si="274"/>
        <v>6.9999999999999996E-10</v>
      </c>
      <c r="L311" s="43">
        <f t="shared" si="274"/>
        <v>8.0000000000000003E-10</v>
      </c>
      <c r="M311" s="43">
        <f t="shared" si="274"/>
        <v>8.9999999999999999E-10</v>
      </c>
      <c r="N311" s="43">
        <f t="shared" si="274"/>
        <v>9.5000000000000003E-10</v>
      </c>
    </row>
    <row r="312" spans="1:14">
      <c r="A312" s="43" t="s">
        <v>1140</v>
      </c>
      <c r="B312" s="162" t="s">
        <v>1139</v>
      </c>
      <c r="C312" s="163" t="s">
        <v>1130</v>
      </c>
      <c r="D312" s="43">
        <f>SUM(E312:H312)+LARGE((I312:N312),1)</f>
        <v>2.5499999999999997E-9</v>
      </c>
      <c r="E312" s="43">
        <f>C10*1.5</f>
        <v>1.5E-10</v>
      </c>
      <c r="F312" s="43">
        <f>D10*2</f>
        <v>4.0000000000000001E-10</v>
      </c>
      <c r="G312" s="43">
        <f>E10*1.5</f>
        <v>4.5E-10</v>
      </c>
      <c r="H312" s="43">
        <f>F10*1.5</f>
        <v>6E-10</v>
      </c>
      <c r="I312" s="43">
        <f>G10</f>
        <v>5.0000000000000003E-10</v>
      </c>
      <c r="J312" s="43">
        <f>IF(H1="英語文學",H10*2,IF(H1="中國文學",H10*1.5,H10))</f>
        <v>6E-10</v>
      </c>
      <c r="K312" s="43">
        <f>IF(I1="英語文學",I10*2,IF(I1="中國文學",I10*1.5,I10))</f>
        <v>6.9999999999999996E-10</v>
      </c>
      <c r="L312" s="43">
        <f>IF(J1="英語文學",J10*2,IF(J1="中國文學",J10*1.5,J10))</f>
        <v>8.0000000000000003E-10</v>
      </c>
      <c r="M312" s="43">
        <f>IF(K1="英語文學",K10*2,IF(K1="中國文學",K10*1.5,K10))</f>
        <v>8.9999999999999999E-10</v>
      </c>
      <c r="N312" s="43">
        <f>L10</f>
        <v>9.5000000000000003E-10</v>
      </c>
    </row>
    <row r="313" spans="1:14">
      <c r="A313" s="43" t="s">
        <v>1046</v>
      </c>
      <c r="B313" s="162" t="s">
        <v>1083</v>
      </c>
      <c r="C313" s="163" t="s">
        <v>1130</v>
      </c>
      <c r="D313" s="43">
        <f t="shared" ref="D313" si="275">SUM(E313:H313)+LARGE((I313:N313),1)</f>
        <v>1.9500000000000001E-9</v>
      </c>
      <c r="E313" s="43">
        <f t="shared" ref="E313:N313" si="276">C10</f>
        <v>1E-10</v>
      </c>
      <c r="F313" s="43">
        <f t="shared" si="276"/>
        <v>2.0000000000000001E-10</v>
      </c>
      <c r="G313" s="43">
        <f t="shared" si="276"/>
        <v>3E-10</v>
      </c>
      <c r="H313" s="43">
        <f t="shared" si="276"/>
        <v>4.0000000000000001E-10</v>
      </c>
      <c r="I313" s="43">
        <f t="shared" si="276"/>
        <v>5.0000000000000003E-10</v>
      </c>
      <c r="J313" s="43">
        <f t="shared" si="276"/>
        <v>6E-10</v>
      </c>
      <c r="K313" s="43">
        <f t="shared" si="276"/>
        <v>6.9999999999999996E-10</v>
      </c>
      <c r="L313" s="43">
        <f t="shared" si="276"/>
        <v>8.0000000000000003E-10</v>
      </c>
      <c r="M313" s="43">
        <f t="shared" si="276"/>
        <v>8.9999999999999999E-10</v>
      </c>
      <c r="N313" s="43">
        <f t="shared" si="276"/>
        <v>9.5000000000000003E-10</v>
      </c>
    </row>
    <row r="314" spans="1:14">
      <c r="A314" s="43" t="s">
        <v>1047</v>
      </c>
      <c r="B314" s="162" t="s">
        <v>1085</v>
      </c>
      <c r="C314" s="163" t="s">
        <v>1134</v>
      </c>
      <c r="D314" s="43">
        <f t="shared" ref="D314:D315" si="277">SUM(E314:H314)+LARGE((I314:N314),1)+LARGE((I314:N314),2)</f>
        <v>2.9499999999999999E-9</v>
      </c>
      <c r="E314" s="43">
        <f>C10</f>
        <v>1E-10</v>
      </c>
      <c r="F314" s="43">
        <f>D10*1.5</f>
        <v>3E-10</v>
      </c>
      <c r="G314" s="43">
        <f t="shared" ref="G314:N314" si="278">E10</f>
        <v>3E-10</v>
      </c>
      <c r="H314" s="43">
        <f t="shared" si="278"/>
        <v>4.0000000000000001E-10</v>
      </c>
      <c r="I314" s="43">
        <f t="shared" si="278"/>
        <v>5.0000000000000003E-10</v>
      </c>
      <c r="J314" s="43">
        <f t="shared" si="278"/>
        <v>6E-10</v>
      </c>
      <c r="K314" s="43">
        <f t="shared" si="278"/>
        <v>6.9999999999999996E-10</v>
      </c>
      <c r="L314" s="43">
        <f t="shared" si="278"/>
        <v>8.0000000000000003E-10</v>
      </c>
      <c r="M314" s="43">
        <f t="shared" si="278"/>
        <v>8.9999999999999999E-10</v>
      </c>
      <c r="N314" s="43">
        <f t="shared" si="278"/>
        <v>9.5000000000000003E-10</v>
      </c>
    </row>
    <row r="315" spans="1:14">
      <c r="A315" s="43" t="s">
        <v>1048</v>
      </c>
      <c r="B315" s="162" t="s">
        <v>1087</v>
      </c>
      <c r="C315" s="163" t="s">
        <v>1134</v>
      </c>
      <c r="D315" s="43">
        <f t="shared" si="277"/>
        <v>2.9499999999999999E-9</v>
      </c>
      <c r="E315" s="43">
        <f>C10</f>
        <v>1E-10</v>
      </c>
      <c r="F315" s="43">
        <f>D10*1.5</f>
        <v>3E-10</v>
      </c>
      <c r="G315" s="43">
        <f t="shared" ref="G315:N315" si="279">E10</f>
        <v>3E-10</v>
      </c>
      <c r="H315" s="43">
        <f t="shared" si="279"/>
        <v>4.0000000000000001E-10</v>
      </c>
      <c r="I315" s="43">
        <f t="shared" si="279"/>
        <v>5.0000000000000003E-10</v>
      </c>
      <c r="J315" s="43">
        <f t="shared" si="279"/>
        <v>6E-10</v>
      </c>
      <c r="K315" s="43">
        <f t="shared" si="279"/>
        <v>6.9999999999999996E-10</v>
      </c>
      <c r="L315" s="43">
        <f t="shared" si="279"/>
        <v>8.0000000000000003E-10</v>
      </c>
      <c r="M315" s="43">
        <f t="shared" si="279"/>
        <v>8.9999999999999999E-10</v>
      </c>
      <c r="N315" s="43">
        <f t="shared" si="279"/>
        <v>9.5000000000000003E-10</v>
      </c>
    </row>
    <row r="316" spans="1:14">
      <c r="A316" s="43" t="s">
        <v>1049</v>
      </c>
      <c r="B316" s="162" t="s">
        <v>1089</v>
      </c>
      <c r="C316" s="163" t="s">
        <v>1132</v>
      </c>
      <c r="D316" s="43">
        <f>SUM(E316:H316)+LARGE((J316:N316),1)+LARGE((J316:N316),2)</f>
        <v>2.9249999999999997E-9</v>
      </c>
      <c r="E316" s="43">
        <f>C10*1.25</f>
        <v>1.2500000000000001E-10</v>
      </c>
      <c r="F316" s="43">
        <f>D10*1.25</f>
        <v>2.5000000000000002E-10</v>
      </c>
      <c r="G316" s="43">
        <f t="shared" ref="G316:N316" si="280">E10</f>
        <v>3E-10</v>
      </c>
      <c r="H316" s="43">
        <f t="shared" si="280"/>
        <v>4.0000000000000001E-10</v>
      </c>
      <c r="I316" s="43">
        <f t="shared" si="280"/>
        <v>5.0000000000000003E-10</v>
      </c>
      <c r="J316" s="43">
        <f t="shared" si="280"/>
        <v>6E-10</v>
      </c>
      <c r="K316" s="43">
        <f t="shared" si="280"/>
        <v>6.9999999999999996E-10</v>
      </c>
      <c r="L316" s="43">
        <f t="shared" si="280"/>
        <v>8.0000000000000003E-10</v>
      </c>
      <c r="M316" s="43">
        <f t="shared" si="280"/>
        <v>8.9999999999999999E-10</v>
      </c>
      <c r="N316" s="43">
        <f t="shared" si="280"/>
        <v>9.5000000000000003E-10</v>
      </c>
    </row>
    <row r="317" spans="1:14">
      <c r="A317" s="43" t="s">
        <v>1050</v>
      </c>
      <c r="B317" s="162" t="s">
        <v>1091</v>
      </c>
      <c r="C317" s="163" t="s">
        <v>1132</v>
      </c>
      <c r="D317" s="43">
        <f>SUM(E317:H317)+LARGE((J317:N317),1)+LARGE((J317:N317),2)</f>
        <v>2.9249999999999997E-9</v>
      </c>
      <c r="E317" s="43">
        <f>C10*1.25</f>
        <v>1.2500000000000001E-10</v>
      </c>
      <c r="F317" s="43">
        <f>D10*1.25</f>
        <v>2.5000000000000002E-10</v>
      </c>
      <c r="G317" s="43">
        <f t="shared" ref="G317:N317" si="281">E10</f>
        <v>3E-10</v>
      </c>
      <c r="H317" s="43">
        <f t="shared" si="281"/>
        <v>4.0000000000000001E-10</v>
      </c>
      <c r="I317" s="43">
        <f t="shared" si="281"/>
        <v>5.0000000000000003E-10</v>
      </c>
      <c r="J317" s="43">
        <f t="shared" si="281"/>
        <v>6E-10</v>
      </c>
      <c r="K317" s="43">
        <f t="shared" si="281"/>
        <v>6.9999999999999996E-10</v>
      </c>
      <c r="L317" s="43">
        <f t="shared" si="281"/>
        <v>8.0000000000000003E-10</v>
      </c>
      <c r="M317" s="43">
        <f t="shared" si="281"/>
        <v>8.9999999999999999E-10</v>
      </c>
      <c r="N317" s="43">
        <f t="shared" si="281"/>
        <v>9.5000000000000003E-10</v>
      </c>
    </row>
    <row r="318" spans="1:14">
      <c r="A318" s="43" t="s">
        <v>1051</v>
      </c>
      <c r="B318" s="162" t="s">
        <v>1093</v>
      </c>
      <c r="C318" s="163" t="s">
        <v>1132</v>
      </c>
      <c r="D318" s="43">
        <f>SUM(E318:H318)+LARGE((J318:N318),1)+LARGE((J318:N318),2)</f>
        <v>2.9249999999999997E-9</v>
      </c>
      <c r="E318" s="43">
        <f>C10*1.25</f>
        <v>1.2500000000000001E-10</v>
      </c>
      <c r="F318" s="43">
        <f>D10*1.25</f>
        <v>2.5000000000000002E-10</v>
      </c>
      <c r="G318" s="43">
        <f t="shared" ref="G318:N318" si="282">E10</f>
        <v>3E-10</v>
      </c>
      <c r="H318" s="43">
        <f t="shared" si="282"/>
        <v>4.0000000000000001E-10</v>
      </c>
      <c r="I318" s="43">
        <f t="shared" si="282"/>
        <v>5.0000000000000003E-10</v>
      </c>
      <c r="J318" s="43">
        <f t="shared" si="282"/>
        <v>6E-10</v>
      </c>
      <c r="K318" s="43">
        <f t="shared" si="282"/>
        <v>6.9999999999999996E-10</v>
      </c>
      <c r="L318" s="43">
        <f t="shared" si="282"/>
        <v>8.0000000000000003E-10</v>
      </c>
      <c r="M318" s="43">
        <f t="shared" si="282"/>
        <v>8.9999999999999999E-10</v>
      </c>
      <c r="N318" s="43">
        <f t="shared" si="282"/>
        <v>9.5000000000000003E-10</v>
      </c>
    </row>
    <row r="319" spans="1:14">
      <c r="A319" s="43" t="s">
        <v>1052</v>
      </c>
      <c r="B319" s="162" t="s">
        <v>1095</v>
      </c>
      <c r="C319" s="163" t="s">
        <v>82</v>
      </c>
      <c r="D319" s="49">
        <f>LARGE(E319:N319, 1)+LARGE(E319:N319, 2)+LARGE(E319:N319, 3)+LARGE(E319:N319, 4)+LARGE(E319:N319, 5)</f>
        <v>3.9500000000000006E-9</v>
      </c>
      <c r="E319" s="43">
        <f t="shared" ref="E319:N319" si="283">C10</f>
        <v>1E-10</v>
      </c>
      <c r="F319" s="43">
        <f t="shared" si="283"/>
        <v>2.0000000000000001E-10</v>
      </c>
      <c r="G319" s="43">
        <f t="shared" si="283"/>
        <v>3E-10</v>
      </c>
      <c r="H319" s="43">
        <f t="shared" si="283"/>
        <v>4.0000000000000001E-10</v>
      </c>
      <c r="I319" s="43">
        <f t="shared" si="283"/>
        <v>5.0000000000000003E-10</v>
      </c>
      <c r="J319" s="43">
        <f t="shared" si="283"/>
        <v>6E-10</v>
      </c>
      <c r="K319" s="43">
        <f t="shared" si="283"/>
        <v>6.9999999999999996E-10</v>
      </c>
      <c r="L319" s="43">
        <f t="shared" si="283"/>
        <v>8.0000000000000003E-10</v>
      </c>
      <c r="M319" s="43">
        <f t="shared" si="283"/>
        <v>8.9999999999999999E-10</v>
      </c>
      <c r="N319" s="43">
        <f t="shared" si="283"/>
        <v>9.5000000000000003E-10</v>
      </c>
    </row>
    <row r="320" spans="1:14">
      <c r="A320" s="43" t="s">
        <v>1053</v>
      </c>
      <c r="B320" s="162" t="s">
        <v>1097</v>
      </c>
      <c r="C320" s="163" t="s">
        <v>1132</v>
      </c>
      <c r="D320" s="43">
        <f>SUM(E320:H320)+LARGE((I320:M320),1)+LARGE((I320:M320),2)</f>
        <v>2.8500000000000003E-9</v>
      </c>
      <c r="E320" s="43">
        <f>C10*1.5</f>
        <v>1.5E-10</v>
      </c>
      <c r="F320" s="43">
        <f>D10*1.5</f>
        <v>3E-10</v>
      </c>
      <c r="G320" s="43">
        <f>E10</f>
        <v>3E-10</v>
      </c>
      <c r="H320" s="43">
        <f>F10</f>
        <v>4.0000000000000001E-10</v>
      </c>
      <c r="I320" s="43">
        <f>G10</f>
        <v>5.0000000000000003E-10</v>
      </c>
      <c r="J320" s="43">
        <f>IF(H1="生物",H10*1.5,IF(OR(H1="中國歷史",H1="中國文學",H1="化學",H1="組合科學 (物理、化學)",H1="組合科學 (生物、化學)",H1="組合科學 (物理、生物)",H1="數學",H1="物理"),H10*1.25,H10))</f>
        <v>6E-10</v>
      </c>
      <c r="K320" s="43">
        <f t="shared" ref="K320:M320" si="284">IF(I1="生物",I10*1.5,IF(OR(I1="中國歷史",I1="中國文學",I1="化學",I1="組合科學 (物理、化學)",I1="組合科學 (生物、化學)",I1="組合科學 (物理、生物)",I1="數學",I1="物理"),I10*1.25,I10))</f>
        <v>6.9999999999999996E-10</v>
      </c>
      <c r="L320" s="43">
        <f t="shared" si="284"/>
        <v>8.0000000000000003E-10</v>
      </c>
      <c r="M320" s="43">
        <f t="shared" si="284"/>
        <v>8.9999999999999999E-10</v>
      </c>
      <c r="N320" s="43">
        <f>L10</f>
        <v>9.5000000000000003E-10</v>
      </c>
    </row>
    <row r="321" spans="1:14">
      <c r="A321" s="43" t="s">
        <v>1054</v>
      </c>
      <c r="B321" s="162" t="s">
        <v>1099</v>
      </c>
      <c r="C321" s="163" t="s">
        <v>1132</v>
      </c>
      <c r="D321" s="43">
        <f>SUM(E321:H321)+LARGE((I321:M321),1)+LARGE((I321:M321),2)</f>
        <v>2.8500000000000003E-9</v>
      </c>
      <c r="E321" s="43">
        <f>C10*1.5</f>
        <v>1.5E-10</v>
      </c>
      <c r="F321" s="43">
        <f>D10*1.5</f>
        <v>3E-10</v>
      </c>
      <c r="G321" s="43">
        <f>E10</f>
        <v>3E-10</v>
      </c>
      <c r="H321" s="43">
        <f>F10</f>
        <v>4.0000000000000001E-10</v>
      </c>
      <c r="I321" s="43">
        <f>G10</f>
        <v>5.0000000000000003E-10</v>
      </c>
      <c r="J321" s="43">
        <f>IF(H1="化學",H10*1.5,IF(OR(H1="中國文學",H1="生物",H1="組合科學 (物理、化學)",H1="組合科學 (生物、化學)",H1="組合科學 (物理、生物)",H1="數學",H1="物理"),H10*1.25,H10))</f>
        <v>6E-10</v>
      </c>
      <c r="K321" s="43">
        <f t="shared" ref="K321:M321" si="285">IF(I1="化學",I10*1.5,IF(OR(I1="中國文學",I1="生物",I1="組合科學 (物理、化學)",I1="組合科學 (生物、化學)",I1="組合科學 (物理、生物)",I1="數學",I1="物理"),I10*1.25,I10))</f>
        <v>6.9999999999999996E-10</v>
      </c>
      <c r="L321" s="43">
        <f t="shared" si="285"/>
        <v>8.0000000000000003E-10</v>
      </c>
      <c r="M321" s="43">
        <f t="shared" si="285"/>
        <v>8.9999999999999999E-10</v>
      </c>
      <c r="N321" s="43">
        <f>L10</f>
        <v>9.5000000000000003E-10</v>
      </c>
    </row>
    <row r="322" spans="1:14">
      <c r="A322" s="43" t="s">
        <v>1055</v>
      </c>
      <c r="B322" s="162" t="s">
        <v>303</v>
      </c>
      <c r="C322" s="163" t="s">
        <v>1138</v>
      </c>
      <c r="D322" s="43">
        <f>SUM(E322:H322)+LARGE((I322:N322),1)</f>
        <v>1.9500000000000001E-9</v>
      </c>
      <c r="E322" s="43">
        <f t="shared" ref="E322:N322" si="286">C10</f>
        <v>1E-10</v>
      </c>
      <c r="F322" s="43">
        <f t="shared" si="286"/>
        <v>2.0000000000000001E-10</v>
      </c>
      <c r="G322" s="43">
        <f t="shared" si="286"/>
        <v>3E-10</v>
      </c>
      <c r="H322" s="43">
        <f t="shared" si="286"/>
        <v>4.0000000000000001E-10</v>
      </c>
      <c r="I322" s="43">
        <f t="shared" si="286"/>
        <v>5.0000000000000003E-10</v>
      </c>
      <c r="J322" s="43">
        <f t="shared" si="286"/>
        <v>6E-10</v>
      </c>
      <c r="K322" s="43">
        <f t="shared" si="286"/>
        <v>6.9999999999999996E-10</v>
      </c>
      <c r="L322" s="43">
        <f t="shared" si="286"/>
        <v>8.0000000000000003E-10</v>
      </c>
      <c r="M322" s="43">
        <f t="shared" si="286"/>
        <v>8.9999999999999999E-10</v>
      </c>
      <c r="N322" s="43">
        <f t="shared" si="286"/>
        <v>9.5000000000000003E-10</v>
      </c>
    </row>
    <row r="323" spans="1:14">
      <c r="A323" s="43" t="s">
        <v>1056</v>
      </c>
      <c r="B323" s="162" t="s">
        <v>1102</v>
      </c>
      <c r="C323" s="163" t="s">
        <v>1130</v>
      </c>
      <c r="D323" s="43">
        <f>SUM(E323:H323)+LARGE((I323:N323),1)</f>
        <v>2.1500000000000002E-9</v>
      </c>
      <c r="E323" s="43">
        <f>C10</f>
        <v>1E-10</v>
      </c>
      <c r="F323" s="43">
        <f>D10*2</f>
        <v>4.0000000000000001E-10</v>
      </c>
      <c r="G323" s="43">
        <f t="shared" ref="G323:N323" si="287">E10</f>
        <v>3E-10</v>
      </c>
      <c r="H323" s="43">
        <f t="shared" si="287"/>
        <v>4.0000000000000001E-10</v>
      </c>
      <c r="I323" s="43">
        <f t="shared" si="287"/>
        <v>5.0000000000000003E-10</v>
      </c>
      <c r="J323" s="43">
        <f t="shared" si="287"/>
        <v>6E-10</v>
      </c>
      <c r="K323" s="43">
        <f t="shared" si="287"/>
        <v>6.9999999999999996E-10</v>
      </c>
      <c r="L323" s="43">
        <f t="shared" si="287"/>
        <v>8.0000000000000003E-10</v>
      </c>
      <c r="M323" s="43">
        <f t="shared" si="287"/>
        <v>8.9999999999999999E-10</v>
      </c>
      <c r="N323" s="43">
        <f t="shared" si="287"/>
        <v>9.5000000000000003E-10</v>
      </c>
    </row>
    <row r="324" spans="1:14">
      <c r="A324" s="43" t="s">
        <v>1057</v>
      </c>
      <c r="B324" s="162" t="s">
        <v>1104</v>
      </c>
      <c r="C324" s="163" t="s">
        <v>1130</v>
      </c>
      <c r="D324" s="43">
        <f>SUM(E324:H324)+LARGE((J324:N324),1)</f>
        <v>1.9500000000000001E-9</v>
      </c>
      <c r="E324" s="43">
        <f t="shared" ref="E324:N324" si="288">C10</f>
        <v>1E-10</v>
      </c>
      <c r="F324" s="43">
        <f t="shared" si="288"/>
        <v>2.0000000000000001E-10</v>
      </c>
      <c r="G324" s="43">
        <f t="shared" si="288"/>
        <v>3E-10</v>
      </c>
      <c r="H324" s="43">
        <f t="shared" si="288"/>
        <v>4.0000000000000001E-10</v>
      </c>
      <c r="I324" s="43">
        <f t="shared" si="288"/>
        <v>5.0000000000000003E-10</v>
      </c>
      <c r="J324" s="43">
        <f t="shared" si="288"/>
        <v>6E-10</v>
      </c>
      <c r="K324" s="43">
        <f t="shared" si="288"/>
        <v>6.9999999999999996E-10</v>
      </c>
      <c r="L324" s="43">
        <f t="shared" si="288"/>
        <v>8.0000000000000003E-10</v>
      </c>
      <c r="M324" s="43">
        <f t="shared" si="288"/>
        <v>8.9999999999999999E-10</v>
      </c>
      <c r="N324" s="43">
        <f t="shared" si="288"/>
        <v>9.5000000000000003E-10</v>
      </c>
    </row>
    <row r="325" spans="1:14">
      <c r="A325" s="43" t="s">
        <v>1058</v>
      </c>
      <c r="B325" s="162" t="s">
        <v>1106</v>
      </c>
      <c r="C325" s="163" t="s">
        <v>1132</v>
      </c>
      <c r="D325" s="43">
        <f>SUM(E325:H325)+LARGE((J325:N325),1)+LARGE((J325:N325),2)</f>
        <v>2.8899999999999997E-9</v>
      </c>
      <c r="E325" s="43">
        <f>C10</f>
        <v>1E-10</v>
      </c>
      <c r="F325" s="43">
        <f>D10*1.2</f>
        <v>2.4E-10</v>
      </c>
      <c r="G325" s="43">
        <f t="shared" ref="G325:N325" si="289">E10</f>
        <v>3E-10</v>
      </c>
      <c r="H325" s="43">
        <f t="shared" si="289"/>
        <v>4.0000000000000001E-10</v>
      </c>
      <c r="I325" s="43">
        <f t="shared" si="289"/>
        <v>5.0000000000000003E-10</v>
      </c>
      <c r="J325" s="43">
        <f t="shared" si="289"/>
        <v>6E-10</v>
      </c>
      <c r="K325" s="43">
        <f t="shared" si="289"/>
        <v>6.9999999999999996E-10</v>
      </c>
      <c r="L325" s="43">
        <f t="shared" si="289"/>
        <v>8.0000000000000003E-10</v>
      </c>
      <c r="M325" s="43">
        <f t="shared" si="289"/>
        <v>8.9999999999999999E-10</v>
      </c>
      <c r="N325" s="43">
        <f t="shared" si="289"/>
        <v>9.5000000000000003E-10</v>
      </c>
    </row>
    <row r="326" spans="1:14">
      <c r="A326" s="43" t="s">
        <v>1059</v>
      </c>
      <c r="B326" s="162" t="s">
        <v>1108</v>
      </c>
      <c r="C326" s="163" t="s">
        <v>1132</v>
      </c>
      <c r="D326" s="43">
        <f>SUM(E326:H326)+LARGE((J326:N326),1)+LARGE((J326:N326),2)</f>
        <v>2.8899999999999997E-9</v>
      </c>
      <c r="E326" s="43">
        <f>C10</f>
        <v>1E-10</v>
      </c>
      <c r="F326" s="43">
        <f>D10*1.2</f>
        <v>2.4E-10</v>
      </c>
      <c r="G326" s="43">
        <f t="shared" ref="G326:N326" si="290">E10</f>
        <v>3E-10</v>
      </c>
      <c r="H326" s="43">
        <f t="shared" si="290"/>
        <v>4.0000000000000001E-10</v>
      </c>
      <c r="I326" s="43">
        <f t="shared" si="290"/>
        <v>5.0000000000000003E-10</v>
      </c>
      <c r="J326" s="43">
        <f t="shared" si="290"/>
        <v>6E-10</v>
      </c>
      <c r="K326" s="43">
        <f t="shared" si="290"/>
        <v>6.9999999999999996E-10</v>
      </c>
      <c r="L326" s="43">
        <f t="shared" si="290"/>
        <v>8.0000000000000003E-10</v>
      </c>
      <c r="M326" s="43">
        <f t="shared" si="290"/>
        <v>8.9999999999999999E-10</v>
      </c>
      <c r="N326" s="43">
        <f t="shared" si="290"/>
        <v>9.5000000000000003E-10</v>
      </c>
    </row>
    <row r="327" spans="1:14">
      <c r="A327" s="43" t="s">
        <v>1060</v>
      </c>
      <c r="B327" s="162" t="s">
        <v>1110</v>
      </c>
      <c r="C327" s="163" t="s">
        <v>1130</v>
      </c>
      <c r="D327" s="43">
        <f>SUM(E327:H327)+LARGE((J327:N327),1)</f>
        <v>2.3500000000000004E-9</v>
      </c>
      <c r="E327" s="43">
        <f>C10</f>
        <v>1E-10</v>
      </c>
      <c r="F327" s="43">
        <f>D10*2</f>
        <v>4.0000000000000001E-10</v>
      </c>
      <c r="G327" s="43">
        <f>E10</f>
        <v>3E-10</v>
      </c>
      <c r="H327" s="43">
        <f>F10*1.5</f>
        <v>6E-10</v>
      </c>
      <c r="I327" s="43">
        <f t="shared" ref="I327:N327" si="291">G10</f>
        <v>5.0000000000000003E-10</v>
      </c>
      <c r="J327" s="43">
        <f t="shared" si="291"/>
        <v>6E-10</v>
      </c>
      <c r="K327" s="43">
        <f t="shared" si="291"/>
        <v>6.9999999999999996E-10</v>
      </c>
      <c r="L327" s="43">
        <f t="shared" si="291"/>
        <v>8.0000000000000003E-10</v>
      </c>
      <c r="M327" s="43">
        <f t="shared" si="291"/>
        <v>8.9999999999999999E-10</v>
      </c>
      <c r="N327" s="43">
        <f t="shared" si="291"/>
        <v>9.5000000000000003E-10</v>
      </c>
    </row>
    <row r="328" spans="1:14">
      <c r="A328" s="43" t="s">
        <v>1061</v>
      </c>
      <c r="B328" s="162" t="s">
        <v>1112</v>
      </c>
      <c r="C328" s="163" t="s">
        <v>220</v>
      </c>
      <c r="D328" s="43">
        <f>SUM(E328:H328)+LARGE((J328:N328),1)+LARGE((J328:N328),2)</f>
        <v>2.9999999999999996E-9</v>
      </c>
      <c r="E328" s="43">
        <f>C10*1.5</f>
        <v>1.5E-10</v>
      </c>
      <c r="F328" s="43">
        <f>D10*1.5</f>
        <v>3E-10</v>
      </c>
      <c r="G328" s="43">
        <f t="shared" ref="G328:N328" si="292">E10</f>
        <v>3E-10</v>
      </c>
      <c r="H328" s="43">
        <f t="shared" si="292"/>
        <v>4.0000000000000001E-10</v>
      </c>
      <c r="I328" s="43">
        <f t="shared" si="292"/>
        <v>5.0000000000000003E-10</v>
      </c>
      <c r="J328" s="43">
        <f t="shared" si="292"/>
        <v>6E-10</v>
      </c>
      <c r="K328" s="43">
        <f t="shared" si="292"/>
        <v>6.9999999999999996E-10</v>
      </c>
      <c r="L328" s="43">
        <f t="shared" si="292"/>
        <v>8.0000000000000003E-10</v>
      </c>
      <c r="M328" s="43">
        <f t="shared" si="292"/>
        <v>8.9999999999999999E-10</v>
      </c>
      <c r="N328" s="43">
        <f t="shared" si="292"/>
        <v>9.5000000000000003E-10</v>
      </c>
    </row>
    <row r="329" spans="1:14">
      <c r="A329" s="43" t="s">
        <v>1062</v>
      </c>
      <c r="B329" s="162" t="s">
        <v>1114</v>
      </c>
      <c r="C329" s="163" t="s">
        <v>1130</v>
      </c>
      <c r="D329" s="43">
        <f>SUM(E329:H329)+LARGE((I329:N329),1)</f>
        <v>1.9500000000000001E-9</v>
      </c>
      <c r="E329" s="43">
        <f t="shared" ref="E329:N329" si="293">C10</f>
        <v>1E-10</v>
      </c>
      <c r="F329" s="43">
        <f t="shared" si="293"/>
        <v>2.0000000000000001E-10</v>
      </c>
      <c r="G329" s="43">
        <f t="shared" si="293"/>
        <v>3E-10</v>
      </c>
      <c r="H329" s="43">
        <f t="shared" si="293"/>
        <v>4.0000000000000001E-10</v>
      </c>
      <c r="I329" s="43">
        <f t="shared" si="293"/>
        <v>5.0000000000000003E-10</v>
      </c>
      <c r="J329" s="43">
        <f t="shared" si="293"/>
        <v>6E-10</v>
      </c>
      <c r="K329" s="43">
        <f t="shared" si="293"/>
        <v>6.9999999999999996E-10</v>
      </c>
      <c r="L329" s="43">
        <f t="shared" si="293"/>
        <v>8.0000000000000003E-10</v>
      </c>
      <c r="M329" s="43">
        <f t="shared" si="293"/>
        <v>8.9999999999999999E-10</v>
      </c>
      <c r="N329" s="43">
        <f t="shared" si="293"/>
        <v>9.5000000000000003E-10</v>
      </c>
    </row>
    <row r="330" spans="1:14">
      <c r="A330" s="43" t="s">
        <v>1063</v>
      </c>
      <c r="B330" s="162" t="s">
        <v>1116</v>
      </c>
      <c r="C330" s="163" t="s">
        <v>1130</v>
      </c>
      <c r="D330" s="43">
        <f>SUM(E330:H330)+LARGE((I330:N330),1)</f>
        <v>1.9500000000000001E-9</v>
      </c>
      <c r="E330" s="43">
        <f>C10</f>
        <v>1E-10</v>
      </c>
      <c r="F330" s="43">
        <f>D10</f>
        <v>2.0000000000000001E-10</v>
      </c>
      <c r="G330" s="43">
        <f>E10</f>
        <v>3E-10</v>
      </c>
      <c r="H330" s="43">
        <f>F10</f>
        <v>4.0000000000000001E-10</v>
      </c>
      <c r="I330" s="43">
        <f>G10</f>
        <v>5.0000000000000003E-10</v>
      </c>
      <c r="J330" s="43">
        <f>IF(OR(H1="中國歷史",H1="經濟",H1="倫理及宗教科",H1="地理",H1="歷史",H1="旅遊及款待"),H10*1.2,H10)</f>
        <v>6E-10</v>
      </c>
      <c r="K330" s="43">
        <f t="shared" ref="K330:M330" si="294">IF(OR(I1="中國歷史",I1="經濟",I1="倫理及宗教科",I1="地理",I1="歷史",I1="旅遊及款待"),I10*1.2,I10)</f>
        <v>6.9999999999999996E-10</v>
      </c>
      <c r="L330" s="43">
        <f t="shared" si="294"/>
        <v>8.0000000000000003E-10</v>
      </c>
      <c r="M330" s="43">
        <f t="shared" si="294"/>
        <v>8.9999999999999999E-10</v>
      </c>
      <c r="N330" s="43">
        <f>L10</f>
        <v>9.5000000000000003E-10</v>
      </c>
    </row>
    <row r="331" spans="1:14">
      <c r="A331" s="43" t="s">
        <v>1064</v>
      </c>
      <c r="B331" s="162" t="s">
        <v>1118</v>
      </c>
      <c r="C331" s="163" t="s">
        <v>82</v>
      </c>
      <c r="D331" s="49">
        <f>F331+LARGE((E331,G331:N331),1)+LARGE((E331,G331:N331),2)+LARGE((E331,G331:N331),3)+LARGE((E331,G331:N331),4)</f>
        <v>3.5500000000000004E-9</v>
      </c>
      <c r="E331" s="43">
        <f t="shared" ref="E331:N331" si="295">C10</f>
        <v>1E-10</v>
      </c>
      <c r="F331" s="43">
        <f t="shared" si="295"/>
        <v>2.0000000000000001E-10</v>
      </c>
      <c r="G331" s="43">
        <f t="shared" si="295"/>
        <v>3E-10</v>
      </c>
      <c r="H331" s="43">
        <f t="shared" si="295"/>
        <v>4.0000000000000001E-10</v>
      </c>
      <c r="I331" s="43">
        <f t="shared" si="295"/>
        <v>5.0000000000000003E-10</v>
      </c>
      <c r="J331" s="43">
        <f t="shared" si="295"/>
        <v>6E-10</v>
      </c>
      <c r="K331" s="43">
        <f t="shared" si="295"/>
        <v>6.9999999999999996E-10</v>
      </c>
      <c r="L331" s="43">
        <f t="shared" si="295"/>
        <v>8.0000000000000003E-10</v>
      </c>
      <c r="M331" s="43">
        <f t="shared" si="295"/>
        <v>8.9999999999999999E-10</v>
      </c>
      <c r="N331" s="43">
        <f t="shared" si="295"/>
        <v>9.5000000000000003E-10</v>
      </c>
    </row>
    <row r="332" spans="1:14">
      <c r="A332" s="43" t="s">
        <v>1065</v>
      </c>
      <c r="B332" s="162" t="s">
        <v>1120</v>
      </c>
      <c r="C332" s="163" t="s">
        <v>1134</v>
      </c>
      <c r="D332" s="43">
        <f>SUM(E332:H332)+LARGE((I332:M332),1)+LARGE((I332:M332),2)</f>
        <v>2.7000000000000002E-9</v>
      </c>
      <c r="E332" s="43">
        <f t="shared" ref="E332:N332" si="296">C10</f>
        <v>1E-10</v>
      </c>
      <c r="F332" s="43">
        <f t="shared" si="296"/>
        <v>2.0000000000000001E-10</v>
      </c>
      <c r="G332" s="43">
        <f t="shared" si="296"/>
        <v>3E-10</v>
      </c>
      <c r="H332" s="43">
        <f t="shared" si="296"/>
        <v>4.0000000000000001E-10</v>
      </c>
      <c r="I332" s="43">
        <f t="shared" si="296"/>
        <v>5.0000000000000003E-10</v>
      </c>
      <c r="J332" s="43">
        <f t="shared" si="296"/>
        <v>6E-10</v>
      </c>
      <c r="K332" s="43">
        <f t="shared" si="296"/>
        <v>6.9999999999999996E-10</v>
      </c>
      <c r="L332" s="43">
        <f t="shared" si="296"/>
        <v>8.0000000000000003E-10</v>
      </c>
      <c r="M332" s="43">
        <f t="shared" si="296"/>
        <v>8.9999999999999999E-10</v>
      </c>
      <c r="N332" s="43">
        <f t="shared" si="296"/>
        <v>9.5000000000000003E-10</v>
      </c>
    </row>
    <row r="334" spans="1:14" ht="16.5">
      <c r="A334" s="44" t="s">
        <v>1387</v>
      </c>
      <c r="D334" s="43" t="str">
        <f>B1</f>
        <v>總分</v>
      </c>
      <c r="E334" s="43" t="str">
        <f t="shared" ref="E334:N334" si="297">C1</f>
        <v>中國語文</v>
      </c>
      <c r="F334" s="43" t="str">
        <f t="shared" si="297"/>
        <v>英國語文</v>
      </c>
      <c r="G334" s="43" t="str">
        <f t="shared" si="297"/>
        <v>數學</v>
      </c>
      <c r="H334" s="43" t="str">
        <f t="shared" si="297"/>
        <v>通識教育</v>
      </c>
      <c r="I334" s="43" t="str">
        <f t="shared" si="297"/>
        <v>數學延伸</v>
      </c>
      <c r="J334" s="43" t="str">
        <f t="shared" si="297"/>
        <v>請選擇第一選修科</v>
      </c>
      <c r="K334" s="43" t="str">
        <f t="shared" si="297"/>
        <v>請選擇第二選修科</v>
      </c>
      <c r="L334" s="43" t="str">
        <f t="shared" si="297"/>
        <v>請選擇第三選修科</v>
      </c>
      <c r="M334" s="43" t="str">
        <f t="shared" si="297"/>
        <v>請選擇第四選修科</v>
      </c>
      <c r="N334" s="43" t="str">
        <f t="shared" si="297"/>
        <v>請選擇語言科目</v>
      </c>
    </row>
    <row r="335" spans="1:14">
      <c r="A335" s="43" t="s">
        <v>1250</v>
      </c>
      <c r="B335" s="162" t="s">
        <v>950</v>
      </c>
      <c r="C335" s="43" t="s">
        <v>1379</v>
      </c>
      <c r="D335" s="43">
        <f>SUM(E335:H335)+LARGE(J335:N335,1)</f>
        <v>1.9500000000000001E-9</v>
      </c>
      <c r="E335" s="43">
        <f>C11</f>
        <v>1E-10</v>
      </c>
      <c r="F335" s="43">
        <f>D11</f>
        <v>2.0000000000000001E-10</v>
      </c>
      <c r="G335" s="43">
        <f>E11</f>
        <v>3E-10</v>
      </c>
      <c r="H335" s="43">
        <f>F11</f>
        <v>4.0000000000000001E-10</v>
      </c>
      <c r="J335" s="43">
        <f>H11</f>
        <v>6E-10</v>
      </c>
      <c r="K335" s="43">
        <f>I11</f>
        <v>6.9999999999999996E-10</v>
      </c>
      <c r="L335" s="43">
        <f>J11</f>
        <v>8.0000000000000003E-10</v>
      </c>
      <c r="M335" s="43">
        <f>K11</f>
        <v>8.9999999999999999E-10</v>
      </c>
      <c r="N335" s="43">
        <f>L11</f>
        <v>9.5000000000000003E-10</v>
      </c>
    </row>
    <row r="336" spans="1:14">
      <c r="A336" s="43" t="s">
        <v>1252</v>
      </c>
      <c r="B336" s="162" t="s">
        <v>1253</v>
      </c>
      <c r="C336" s="43" t="s">
        <v>1379</v>
      </c>
      <c r="D336" s="43">
        <f t="shared" ref="D336:D368" si="298">SUM(E336:H336)+LARGE(J336:N336,1)</f>
        <v>1.9500000000000001E-9</v>
      </c>
      <c r="E336" s="43">
        <f>C11</f>
        <v>1E-10</v>
      </c>
      <c r="F336" s="43">
        <f>D11</f>
        <v>2.0000000000000001E-10</v>
      </c>
      <c r="G336" s="43">
        <f>E11</f>
        <v>3E-10</v>
      </c>
      <c r="H336" s="43">
        <f>F11</f>
        <v>4.0000000000000001E-10</v>
      </c>
      <c r="J336" s="43">
        <f>H11</f>
        <v>6E-10</v>
      </c>
      <c r="K336" s="43">
        <f>I11</f>
        <v>6.9999999999999996E-10</v>
      </c>
      <c r="L336" s="43">
        <f>J11</f>
        <v>8.0000000000000003E-10</v>
      </c>
      <c r="M336" s="43">
        <f>K11</f>
        <v>8.9999999999999999E-10</v>
      </c>
      <c r="N336" s="43">
        <f>L11</f>
        <v>9.5000000000000003E-10</v>
      </c>
    </row>
    <row r="337" spans="1:14">
      <c r="A337" s="43" t="s">
        <v>1255</v>
      </c>
      <c r="B337" s="162" t="s">
        <v>1256</v>
      </c>
      <c r="C337" s="43" t="s">
        <v>1379</v>
      </c>
      <c r="D337" s="43">
        <f t="shared" si="298"/>
        <v>1.9500000000000001E-9</v>
      </c>
      <c r="E337" s="43">
        <f>C11</f>
        <v>1E-10</v>
      </c>
      <c r="F337" s="43">
        <f>D11</f>
        <v>2.0000000000000001E-10</v>
      </c>
      <c r="G337" s="43">
        <f>E11</f>
        <v>3E-10</v>
      </c>
      <c r="H337" s="43">
        <f>F11</f>
        <v>4.0000000000000001E-10</v>
      </c>
      <c r="J337" s="43">
        <f>H11</f>
        <v>6E-10</v>
      </c>
      <c r="K337" s="43">
        <f>I11</f>
        <v>6.9999999999999996E-10</v>
      </c>
      <c r="L337" s="43">
        <f>J11</f>
        <v>8.0000000000000003E-10</v>
      </c>
      <c r="M337" s="43">
        <f>K11</f>
        <v>8.9999999999999999E-10</v>
      </c>
      <c r="N337" s="43">
        <f>L11</f>
        <v>9.5000000000000003E-10</v>
      </c>
    </row>
    <row r="338" spans="1:14">
      <c r="A338" s="43" t="s">
        <v>1258</v>
      </c>
      <c r="B338" s="162" t="s">
        <v>1259</v>
      </c>
      <c r="C338" s="43" t="s">
        <v>1379</v>
      </c>
      <c r="D338" s="43">
        <f t="shared" si="298"/>
        <v>1.9500000000000001E-9</v>
      </c>
      <c r="E338" s="43">
        <f>C11</f>
        <v>1E-10</v>
      </c>
      <c r="F338" s="43">
        <f>D11</f>
        <v>2.0000000000000001E-10</v>
      </c>
      <c r="G338" s="43">
        <f>E11</f>
        <v>3E-10</v>
      </c>
      <c r="H338" s="43">
        <f>F11</f>
        <v>4.0000000000000001E-10</v>
      </c>
      <c r="J338" s="43">
        <f>H11</f>
        <v>6E-10</v>
      </c>
      <c r="K338" s="43">
        <f>I11</f>
        <v>6.9999999999999996E-10</v>
      </c>
      <c r="L338" s="43">
        <f>J11</f>
        <v>8.0000000000000003E-10</v>
      </c>
      <c r="M338" s="43">
        <f>K11</f>
        <v>8.9999999999999999E-10</v>
      </c>
      <c r="N338" s="43">
        <f>L11</f>
        <v>9.5000000000000003E-10</v>
      </c>
    </row>
    <row r="339" spans="1:14">
      <c r="A339" s="43" t="s">
        <v>1261</v>
      </c>
      <c r="B339" s="162" t="s">
        <v>1262</v>
      </c>
      <c r="C339" s="43" t="s">
        <v>1379</v>
      </c>
      <c r="D339" s="43">
        <f t="shared" si="298"/>
        <v>1.9500000000000001E-9</v>
      </c>
      <c r="E339" s="43">
        <f>C11</f>
        <v>1E-10</v>
      </c>
      <c r="F339" s="43">
        <f>D11</f>
        <v>2.0000000000000001E-10</v>
      </c>
      <c r="G339" s="43">
        <f>E11</f>
        <v>3E-10</v>
      </c>
      <c r="H339" s="43">
        <f>F11</f>
        <v>4.0000000000000001E-10</v>
      </c>
      <c r="J339" s="43">
        <f>H11</f>
        <v>6E-10</v>
      </c>
      <c r="K339" s="43">
        <f>I11</f>
        <v>6.9999999999999996E-10</v>
      </c>
      <c r="L339" s="43">
        <f>J11</f>
        <v>8.0000000000000003E-10</v>
      </c>
      <c r="M339" s="43">
        <f>K11</f>
        <v>8.9999999999999999E-10</v>
      </c>
      <c r="N339" s="43">
        <f>L11</f>
        <v>9.5000000000000003E-10</v>
      </c>
    </row>
    <row r="340" spans="1:14">
      <c r="A340" s="43" t="s">
        <v>1264</v>
      </c>
      <c r="B340" s="162" t="s">
        <v>1265</v>
      </c>
      <c r="C340" s="43" t="s">
        <v>1379</v>
      </c>
      <c r="D340" s="43">
        <f t="shared" si="298"/>
        <v>1.9500000000000001E-9</v>
      </c>
      <c r="E340" s="43">
        <f>C11</f>
        <v>1E-10</v>
      </c>
      <c r="F340" s="43">
        <f>D11</f>
        <v>2.0000000000000001E-10</v>
      </c>
      <c r="G340" s="43">
        <f>E11</f>
        <v>3E-10</v>
      </c>
      <c r="H340" s="43">
        <f>F11</f>
        <v>4.0000000000000001E-10</v>
      </c>
      <c r="J340" s="43">
        <f>H11</f>
        <v>6E-10</v>
      </c>
      <c r="K340" s="43">
        <f>I11</f>
        <v>6.9999999999999996E-10</v>
      </c>
      <c r="L340" s="43">
        <f>J11</f>
        <v>8.0000000000000003E-10</v>
      </c>
      <c r="M340" s="43">
        <f>K11</f>
        <v>8.9999999999999999E-10</v>
      </c>
      <c r="N340" s="43">
        <f>L11</f>
        <v>9.5000000000000003E-10</v>
      </c>
    </row>
    <row r="341" spans="1:14">
      <c r="A341" s="43" t="s">
        <v>1267</v>
      </c>
      <c r="B341" s="162" t="s">
        <v>1268</v>
      </c>
      <c r="C341" s="43" t="s">
        <v>1379</v>
      </c>
      <c r="D341" s="43">
        <f t="shared" si="298"/>
        <v>1.9500000000000001E-9</v>
      </c>
      <c r="E341" s="43">
        <f>C11</f>
        <v>1E-10</v>
      </c>
      <c r="F341" s="43">
        <f>D11</f>
        <v>2.0000000000000001E-10</v>
      </c>
      <c r="G341" s="43">
        <f>E11</f>
        <v>3E-10</v>
      </c>
      <c r="H341" s="43">
        <f>F11</f>
        <v>4.0000000000000001E-10</v>
      </c>
      <c r="J341" s="43">
        <f>H11</f>
        <v>6E-10</v>
      </c>
      <c r="K341" s="43">
        <f>I11</f>
        <v>6.9999999999999996E-10</v>
      </c>
      <c r="L341" s="43">
        <f>J11</f>
        <v>8.0000000000000003E-10</v>
      </c>
      <c r="M341" s="43">
        <f>K11</f>
        <v>8.9999999999999999E-10</v>
      </c>
      <c r="N341" s="43">
        <f>L11</f>
        <v>9.5000000000000003E-10</v>
      </c>
    </row>
    <row r="342" spans="1:14">
      <c r="A342" s="43" t="s">
        <v>1270</v>
      </c>
      <c r="B342" s="162" t="s">
        <v>1271</v>
      </c>
      <c r="C342" s="43" t="s">
        <v>1379</v>
      </c>
      <c r="D342" s="43">
        <f t="shared" si="298"/>
        <v>2.0500000000000002E-9</v>
      </c>
      <c r="E342" s="43">
        <f>C11*2</f>
        <v>2.0000000000000001E-10</v>
      </c>
      <c r="F342" s="43">
        <f>D11</f>
        <v>2.0000000000000001E-10</v>
      </c>
      <c r="G342" s="43">
        <f>E11</f>
        <v>3E-10</v>
      </c>
      <c r="H342" s="43">
        <f>F11</f>
        <v>4.0000000000000001E-10</v>
      </c>
      <c r="J342" s="43">
        <f>H11</f>
        <v>6E-10</v>
      </c>
      <c r="K342" s="43">
        <f>I11</f>
        <v>6.9999999999999996E-10</v>
      </c>
      <c r="L342" s="43">
        <f>J11</f>
        <v>8.0000000000000003E-10</v>
      </c>
      <c r="M342" s="43">
        <f>K11</f>
        <v>8.9999999999999999E-10</v>
      </c>
      <c r="N342" s="43">
        <f>L11</f>
        <v>9.5000000000000003E-10</v>
      </c>
    </row>
    <row r="343" spans="1:14">
      <c r="A343" s="43" t="s">
        <v>1273</v>
      </c>
      <c r="B343" s="162" t="s">
        <v>1274</v>
      </c>
      <c r="C343" s="43" t="s">
        <v>1379</v>
      </c>
      <c r="D343" s="43">
        <f t="shared" si="298"/>
        <v>2.0999999999999998E-9</v>
      </c>
      <c r="E343" s="43">
        <f>C11*1.5</f>
        <v>1.5E-10</v>
      </c>
      <c r="F343" s="43">
        <f>D11*1.5</f>
        <v>3E-10</v>
      </c>
      <c r="G343" s="43">
        <f>E11</f>
        <v>3E-10</v>
      </c>
      <c r="H343" s="43">
        <f>F11</f>
        <v>4.0000000000000001E-10</v>
      </c>
      <c r="J343" s="43">
        <f>H11</f>
        <v>6E-10</v>
      </c>
      <c r="K343" s="43">
        <f>I11</f>
        <v>6.9999999999999996E-10</v>
      </c>
      <c r="L343" s="43">
        <f>J11</f>
        <v>8.0000000000000003E-10</v>
      </c>
      <c r="M343" s="43">
        <f>K11</f>
        <v>8.9999999999999999E-10</v>
      </c>
      <c r="N343" s="43">
        <f>L11</f>
        <v>9.5000000000000003E-10</v>
      </c>
    </row>
    <row r="344" spans="1:14">
      <c r="A344" s="43" t="s">
        <v>1276</v>
      </c>
      <c r="B344" s="162" t="s">
        <v>1277</v>
      </c>
      <c r="C344" s="43" t="s">
        <v>1379</v>
      </c>
      <c r="D344" s="43">
        <f t="shared" si="298"/>
        <v>2.0999999999999998E-9</v>
      </c>
      <c r="E344" s="43">
        <f>C11*1.5</f>
        <v>1.5E-10</v>
      </c>
      <c r="F344" s="43">
        <f>D11*1.5</f>
        <v>3E-10</v>
      </c>
      <c r="G344" s="43">
        <f>E11</f>
        <v>3E-10</v>
      </c>
      <c r="H344" s="43">
        <f>F11</f>
        <v>4.0000000000000001E-10</v>
      </c>
      <c r="J344" s="43">
        <f>H11</f>
        <v>6E-10</v>
      </c>
      <c r="K344" s="43">
        <f>I11</f>
        <v>6.9999999999999996E-10</v>
      </c>
      <c r="L344" s="43">
        <f>J11</f>
        <v>8.0000000000000003E-10</v>
      </c>
      <c r="M344" s="43">
        <f>K11</f>
        <v>8.9999999999999999E-10</v>
      </c>
      <c r="N344" s="43">
        <f>L11</f>
        <v>9.5000000000000003E-10</v>
      </c>
    </row>
    <row r="345" spans="1:14">
      <c r="A345" s="43" t="s">
        <v>1279</v>
      </c>
      <c r="B345" s="162" t="s">
        <v>1280</v>
      </c>
      <c r="C345" s="43" t="s">
        <v>1379</v>
      </c>
      <c r="D345" s="43">
        <f t="shared" si="298"/>
        <v>1.9500000000000001E-9</v>
      </c>
      <c r="E345" s="43">
        <f>C11</f>
        <v>1E-10</v>
      </c>
      <c r="F345" s="43">
        <f>D11</f>
        <v>2.0000000000000001E-10</v>
      </c>
      <c r="G345" s="43">
        <f>E11</f>
        <v>3E-10</v>
      </c>
      <c r="H345" s="43">
        <f>F11</f>
        <v>4.0000000000000001E-10</v>
      </c>
      <c r="J345" s="43">
        <f>H11</f>
        <v>6E-10</v>
      </c>
      <c r="K345" s="43">
        <f>I11</f>
        <v>6.9999999999999996E-10</v>
      </c>
      <c r="L345" s="43">
        <f>J11</f>
        <v>8.0000000000000003E-10</v>
      </c>
      <c r="M345" s="43">
        <f>K11</f>
        <v>8.9999999999999999E-10</v>
      </c>
      <c r="N345" s="43">
        <f>L11</f>
        <v>9.5000000000000003E-10</v>
      </c>
    </row>
    <row r="346" spans="1:14">
      <c r="A346" s="43" t="s">
        <v>1282</v>
      </c>
      <c r="B346" s="162" t="s">
        <v>1283</v>
      </c>
      <c r="C346" s="43" t="s">
        <v>1379</v>
      </c>
      <c r="D346" s="43">
        <f t="shared" si="298"/>
        <v>1.9500000000000001E-9</v>
      </c>
      <c r="E346" s="43">
        <f>C11</f>
        <v>1E-10</v>
      </c>
      <c r="F346" s="43">
        <f>D11</f>
        <v>2.0000000000000001E-10</v>
      </c>
      <c r="G346" s="43">
        <f>E11</f>
        <v>3E-10</v>
      </c>
      <c r="H346" s="43">
        <f>F11</f>
        <v>4.0000000000000001E-10</v>
      </c>
      <c r="J346" s="43">
        <f>H11</f>
        <v>6E-10</v>
      </c>
      <c r="K346" s="43">
        <f>I11</f>
        <v>6.9999999999999996E-10</v>
      </c>
      <c r="L346" s="43">
        <f>J11</f>
        <v>8.0000000000000003E-10</v>
      </c>
      <c r="M346" s="43">
        <f>K11</f>
        <v>8.9999999999999999E-10</v>
      </c>
      <c r="N346" s="43">
        <f>L11</f>
        <v>9.5000000000000003E-10</v>
      </c>
    </row>
    <row r="347" spans="1:14">
      <c r="A347" s="43" t="s">
        <v>1285</v>
      </c>
      <c r="B347" s="162" t="s">
        <v>1286</v>
      </c>
      <c r="C347" s="43" t="s">
        <v>1379</v>
      </c>
      <c r="D347" s="43">
        <f t="shared" si="298"/>
        <v>1.9500000000000001E-9</v>
      </c>
      <c r="E347" s="43">
        <f>C11</f>
        <v>1E-10</v>
      </c>
      <c r="F347" s="43">
        <f>D11</f>
        <v>2.0000000000000001E-10</v>
      </c>
      <c r="G347" s="43">
        <f>E11</f>
        <v>3E-10</v>
      </c>
      <c r="H347" s="43">
        <f>F11</f>
        <v>4.0000000000000001E-10</v>
      </c>
      <c r="J347" s="43">
        <f>H11</f>
        <v>6E-10</v>
      </c>
      <c r="K347" s="43">
        <f>I11</f>
        <v>6.9999999999999996E-10</v>
      </c>
      <c r="L347" s="43">
        <f>J11</f>
        <v>8.0000000000000003E-10</v>
      </c>
      <c r="M347" s="43">
        <f>K11</f>
        <v>8.9999999999999999E-10</v>
      </c>
      <c r="N347" s="43">
        <f>L11</f>
        <v>9.5000000000000003E-10</v>
      </c>
    </row>
    <row r="348" spans="1:14">
      <c r="A348" s="43" t="s">
        <v>1288</v>
      </c>
      <c r="B348" s="162" t="s">
        <v>1289</v>
      </c>
      <c r="C348" s="43" t="s">
        <v>1379</v>
      </c>
      <c r="D348" s="43">
        <f t="shared" si="298"/>
        <v>1.9500000000000001E-9</v>
      </c>
      <c r="E348" s="43">
        <f>C11</f>
        <v>1E-10</v>
      </c>
      <c r="F348" s="43">
        <f>D11</f>
        <v>2.0000000000000001E-10</v>
      </c>
      <c r="G348" s="43">
        <f>E11</f>
        <v>3E-10</v>
      </c>
      <c r="H348" s="43">
        <f>F11</f>
        <v>4.0000000000000001E-10</v>
      </c>
      <c r="J348" s="43">
        <f>H11</f>
        <v>6E-10</v>
      </c>
      <c r="K348" s="43">
        <f>I11</f>
        <v>6.9999999999999996E-10</v>
      </c>
      <c r="L348" s="43">
        <f>J11</f>
        <v>8.0000000000000003E-10</v>
      </c>
      <c r="M348" s="43">
        <f>K11</f>
        <v>8.9999999999999999E-10</v>
      </c>
      <c r="N348" s="43">
        <f>L11</f>
        <v>9.5000000000000003E-10</v>
      </c>
    </row>
    <row r="349" spans="1:14">
      <c r="A349" s="43" t="s">
        <v>1291</v>
      </c>
      <c r="B349" s="162" t="s">
        <v>1292</v>
      </c>
      <c r="C349" s="43" t="s">
        <v>1379</v>
      </c>
      <c r="D349" s="43">
        <f t="shared" si="298"/>
        <v>1.9500000000000001E-9</v>
      </c>
      <c r="E349" s="43">
        <f>C11</f>
        <v>1E-10</v>
      </c>
      <c r="F349" s="43">
        <f>D11</f>
        <v>2.0000000000000001E-10</v>
      </c>
      <c r="G349" s="43">
        <f>E11</f>
        <v>3E-10</v>
      </c>
      <c r="H349" s="43">
        <f>F11</f>
        <v>4.0000000000000001E-10</v>
      </c>
      <c r="J349" s="43">
        <f>H11</f>
        <v>6E-10</v>
      </c>
      <c r="K349" s="43">
        <f>I11</f>
        <v>6.9999999999999996E-10</v>
      </c>
      <c r="L349" s="43">
        <f>J11</f>
        <v>8.0000000000000003E-10</v>
      </c>
      <c r="M349" s="43">
        <f>K11</f>
        <v>8.9999999999999999E-10</v>
      </c>
      <c r="N349" s="43">
        <f>L11</f>
        <v>9.5000000000000003E-10</v>
      </c>
    </row>
    <row r="350" spans="1:14">
      <c r="A350" s="43" t="s">
        <v>1294</v>
      </c>
      <c r="B350" s="162" t="s">
        <v>1295</v>
      </c>
      <c r="C350" s="43" t="s">
        <v>1379</v>
      </c>
      <c r="D350" s="43">
        <f t="shared" si="298"/>
        <v>1.9500000000000001E-9</v>
      </c>
      <c r="E350" s="43">
        <f>C11</f>
        <v>1E-10</v>
      </c>
      <c r="F350" s="43">
        <f>D11</f>
        <v>2.0000000000000001E-10</v>
      </c>
      <c r="G350" s="43">
        <f>E11</f>
        <v>3E-10</v>
      </c>
      <c r="H350" s="43">
        <f>F11</f>
        <v>4.0000000000000001E-10</v>
      </c>
      <c r="J350" s="43">
        <f>H11</f>
        <v>6E-10</v>
      </c>
      <c r="K350" s="43">
        <f>I11</f>
        <v>6.9999999999999996E-10</v>
      </c>
      <c r="L350" s="43">
        <f>J11</f>
        <v>8.0000000000000003E-10</v>
      </c>
      <c r="M350" s="43">
        <f>K11</f>
        <v>8.9999999999999999E-10</v>
      </c>
      <c r="N350" s="43">
        <f>L11</f>
        <v>9.5000000000000003E-10</v>
      </c>
    </row>
    <row r="351" spans="1:14">
      <c r="A351" s="43" t="s">
        <v>1297</v>
      </c>
      <c r="B351" s="162" t="s">
        <v>1298</v>
      </c>
      <c r="C351" s="43" t="s">
        <v>1379</v>
      </c>
      <c r="D351" s="43">
        <f t="shared" si="298"/>
        <v>1.9500000000000001E-9</v>
      </c>
      <c r="E351" s="43">
        <f>C11</f>
        <v>1E-10</v>
      </c>
      <c r="F351" s="43">
        <f>D11</f>
        <v>2.0000000000000001E-10</v>
      </c>
      <c r="G351" s="43">
        <f>E11</f>
        <v>3E-10</v>
      </c>
      <c r="H351" s="43">
        <f>F11</f>
        <v>4.0000000000000001E-10</v>
      </c>
      <c r="J351" s="43">
        <f>H11</f>
        <v>6E-10</v>
      </c>
      <c r="K351" s="43">
        <f>I11</f>
        <v>6.9999999999999996E-10</v>
      </c>
      <c r="L351" s="43">
        <f>J11</f>
        <v>8.0000000000000003E-10</v>
      </c>
      <c r="M351" s="43">
        <f>K11</f>
        <v>8.9999999999999999E-10</v>
      </c>
      <c r="N351" s="43">
        <f>L11</f>
        <v>9.5000000000000003E-10</v>
      </c>
    </row>
    <row r="352" spans="1:14">
      <c r="A352" s="43" t="s">
        <v>1300</v>
      </c>
      <c r="B352" s="162" t="s">
        <v>1301</v>
      </c>
      <c r="C352" s="43" t="s">
        <v>1379</v>
      </c>
      <c r="D352" s="43">
        <f t="shared" si="298"/>
        <v>1.9500000000000001E-9</v>
      </c>
      <c r="E352" s="43">
        <f>C11</f>
        <v>1E-10</v>
      </c>
      <c r="F352" s="43">
        <f>D11</f>
        <v>2.0000000000000001E-10</v>
      </c>
      <c r="G352" s="43">
        <f>E11</f>
        <v>3E-10</v>
      </c>
      <c r="H352" s="43">
        <f>F11</f>
        <v>4.0000000000000001E-10</v>
      </c>
      <c r="J352" s="43">
        <f>H11</f>
        <v>6E-10</v>
      </c>
      <c r="K352" s="43">
        <f>I11</f>
        <v>6.9999999999999996E-10</v>
      </c>
      <c r="L352" s="43">
        <f>J11</f>
        <v>8.0000000000000003E-10</v>
      </c>
      <c r="M352" s="43">
        <f>K11</f>
        <v>8.9999999999999999E-10</v>
      </c>
      <c r="N352" s="43">
        <f>L11</f>
        <v>9.5000000000000003E-10</v>
      </c>
    </row>
    <row r="353" spans="1:14">
      <c r="A353" s="43" t="s">
        <v>1303</v>
      </c>
      <c r="B353" s="162" t="s">
        <v>1304</v>
      </c>
      <c r="C353" s="43" t="s">
        <v>1379</v>
      </c>
      <c r="D353" s="43">
        <f t="shared" si="298"/>
        <v>1.9500000000000001E-9</v>
      </c>
      <c r="E353" s="43">
        <f>C11</f>
        <v>1E-10</v>
      </c>
      <c r="F353" s="43">
        <f>D11</f>
        <v>2.0000000000000001E-10</v>
      </c>
      <c r="G353" s="43">
        <f>E11</f>
        <v>3E-10</v>
      </c>
      <c r="H353" s="43">
        <f>F11</f>
        <v>4.0000000000000001E-10</v>
      </c>
      <c r="J353" s="43">
        <f>H11</f>
        <v>6E-10</v>
      </c>
      <c r="K353" s="43">
        <f>I11</f>
        <v>6.9999999999999996E-10</v>
      </c>
      <c r="L353" s="43">
        <f>J11</f>
        <v>8.0000000000000003E-10</v>
      </c>
      <c r="M353" s="43">
        <f>K11</f>
        <v>8.9999999999999999E-10</v>
      </c>
      <c r="N353" s="43">
        <f>L11</f>
        <v>9.5000000000000003E-10</v>
      </c>
    </row>
    <row r="354" spans="1:14">
      <c r="A354" s="43" t="s">
        <v>1306</v>
      </c>
      <c r="B354" s="162" t="s">
        <v>1307</v>
      </c>
      <c r="C354" s="43" t="s">
        <v>1379</v>
      </c>
      <c r="D354" s="43">
        <f t="shared" si="298"/>
        <v>1.9500000000000001E-9</v>
      </c>
      <c r="E354" s="43">
        <f>C11</f>
        <v>1E-10</v>
      </c>
      <c r="F354" s="43">
        <f>D11</f>
        <v>2.0000000000000001E-10</v>
      </c>
      <c r="G354" s="43">
        <f>E11</f>
        <v>3E-10</v>
      </c>
      <c r="H354" s="43">
        <f>F11</f>
        <v>4.0000000000000001E-10</v>
      </c>
      <c r="J354" s="43">
        <f>H11</f>
        <v>6E-10</v>
      </c>
      <c r="K354" s="43">
        <f>I11</f>
        <v>6.9999999999999996E-10</v>
      </c>
      <c r="L354" s="43">
        <f>J11</f>
        <v>8.0000000000000003E-10</v>
      </c>
      <c r="M354" s="43">
        <f>K11</f>
        <v>8.9999999999999999E-10</v>
      </c>
      <c r="N354" s="43">
        <f>L11</f>
        <v>9.5000000000000003E-10</v>
      </c>
    </row>
    <row r="355" spans="1:14">
      <c r="A355" s="43" t="s">
        <v>1309</v>
      </c>
      <c r="B355" s="162" t="s">
        <v>1310</v>
      </c>
      <c r="C355" s="43" t="s">
        <v>1379</v>
      </c>
      <c r="D355" s="43">
        <f t="shared" si="298"/>
        <v>1.9500000000000001E-9</v>
      </c>
      <c r="E355" s="43">
        <f>C11</f>
        <v>1E-10</v>
      </c>
      <c r="F355" s="43">
        <f>D11</f>
        <v>2.0000000000000001E-10</v>
      </c>
      <c r="G355" s="43">
        <f>E11</f>
        <v>3E-10</v>
      </c>
      <c r="H355" s="43">
        <f>F11</f>
        <v>4.0000000000000001E-10</v>
      </c>
      <c r="J355" s="43">
        <f>H11</f>
        <v>6E-10</v>
      </c>
      <c r="K355" s="43">
        <f>I11</f>
        <v>6.9999999999999996E-10</v>
      </c>
      <c r="L355" s="43">
        <f>J11</f>
        <v>8.0000000000000003E-10</v>
      </c>
      <c r="M355" s="43">
        <f>K11</f>
        <v>8.9999999999999999E-10</v>
      </c>
      <c r="N355" s="43">
        <f>L11</f>
        <v>9.5000000000000003E-10</v>
      </c>
    </row>
    <row r="356" spans="1:14">
      <c r="A356" s="43" t="s">
        <v>1312</v>
      </c>
      <c r="B356" s="162" t="s">
        <v>1313</v>
      </c>
      <c r="C356" s="43" t="s">
        <v>1379</v>
      </c>
      <c r="D356" s="43">
        <f t="shared" si="298"/>
        <v>1.9500000000000001E-9</v>
      </c>
      <c r="E356" s="43">
        <f>C11</f>
        <v>1E-10</v>
      </c>
      <c r="F356" s="43">
        <f>D11</f>
        <v>2.0000000000000001E-10</v>
      </c>
      <c r="G356" s="43">
        <f>E11</f>
        <v>3E-10</v>
      </c>
      <c r="H356" s="43">
        <f>F11</f>
        <v>4.0000000000000001E-10</v>
      </c>
      <c r="J356" s="43">
        <f>H11</f>
        <v>6E-10</v>
      </c>
      <c r="K356" s="43">
        <f>I11</f>
        <v>6.9999999999999996E-10</v>
      </c>
      <c r="L356" s="43">
        <f>J11</f>
        <v>8.0000000000000003E-10</v>
      </c>
      <c r="M356" s="43">
        <f>K11</f>
        <v>8.9999999999999999E-10</v>
      </c>
      <c r="N356" s="43">
        <f>L11</f>
        <v>9.5000000000000003E-10</v>
      </c>
    </row>
    <row r="357" spans="1:14">
      <c r="A357" s="43" t="s">
        <v>1315</v>
      </c>
      <c r="B357" s="162" t="s">
        <v>1316</v>
      </c>
      <c r="C357" s="43" t="s">
        <v>214</v>
      </c>
      <c r="D357" s="43">
        <f>LARGE(E357:N357,1)+LARGE(E357:N357,2)+LARGE(E357:N357,3)+LARGE(E357:N357,4)+LARGE(E357:N357,5)</f>
        <v>3.9500000000000006E-9</v>
      </c>
      <c r="E357" s="43">
        <f>C11</f>
        <v>1E-10</v>
      </c>
      <c r="F357" s="43">
        <f>D11*2</f>
        <v>4.0000000000000001E-10</v>
      </c>
      <c r="G357" s="43">
        <f>E11</f>
        <v>3E-10</v>
      </c>
      <c r="H357" s="43">
        <f>F11</f>
        <v>4.0000000000000001E-10</v>
      </c>
      <c r="J357" s="43">
        <f>H11</f>
        <v>6E-10</v>
      </c>
      <c r="K357" s="43">
        <f>I11</f>
        <v>6.9999999999999996E-10</v>
      </c>
      <c r="L357" s="43">
        <f>J11</f>
        <v>8.0000000000000003E-10</v>
      </c>
      <c r="M357" s="43">
        <f>K11</f>
        <v>8.9999999999999999E-10</v>
      </c>
      <c r="N357" s="43">
        <f>L11</f>
        <v>9.5000000000000003E-10</v>
      </c>
    </row>
    <row r="358" spans="1:14">
      <c r="A358" s="43" t="s">
        <v>1318</v>
      </c>
      <c r="B358" s="162" t="s">
        <v>1319</v>
      </c>
      <c r="C358" s="43" t="s">
        <v>214</v>
      </c>
      <c r="D358" s="43">
        <f t="shared" ref="D358:D362" si="299">LARGE(E358:N358,1)+LARGE(E358:N358,2)+LARGE(E358:N358,3)+LARGE(E358:N358,4)+LARGE(E358:N358,5)</f>
        <v>3.9500000000000006E-9</v>
      </c>
      <c r="E358" s="43">
        <f>C11</f>
        <v>1E-10</v>
      </c>
      <c r="F358" s="43">
        <f>D11*2</f>
        <v>4.0000000000000001E-10</v>
      </c>
      <c r="G358" s="43">
        <f>E11</f>
        <v>3E-10</v>
      </c>
      <c r="H358" s="43">
        <f>F11</f>
        <v>4.0000000000000001E-10</v>
      </c>
      <c r="J358" s="43">
        <f>H11</f>
        <v>6E-10</v>
      </c>
      <c r="K358" s="43">
        <f>I11</f>
        <v>6.9999999999999996E-10</v>
      </c>
      <c r="L358" s="43">
        <f>J11</f>
        <v>8.0000000000000003E-10</v>
      </c>
      <c r="M358" s="43">
        <f>K11</f>
        <v>8.9999999999999999E-10</v>
      </c>
      <c r="N358" s="43">
        <f>L11</f>
        <v>9.5000000000000003E-10</v>
      </c>
    </row>
    <row r="359" spans="1:14">
      <c r="A359" s="43" t="s">
        <v>1321</v>
      </c>
      <c r="B359" s="162" t="s">
        <v>1322</v>
      </c>
      <c r="C359" s="43" t="s">
        <v>214</v>
      </c>
      <c r="D359" s="43">
        <f t="shared" si="299"/>
        <v>3.9500000000000006E-9</v>
      </c>
      <c r="E359" s="43">
        <f>C11*2</f>
        <v>2.0000000000000001E-10</v>
      </c>
      <c r="F359" s="43">
        <f>D11</f>
        <v>2.0000000000000001E-10</v>
      </c>
      <c r="G359" s="43">
        <f>E11</f>
        <v>3E-10</v>
      </c>
      <c r="H359" s="43">
        <f>F11</f>
        <v>4.0000000000000001E-10</v>
      </c>
      <c r="J359" s="43">
        <f>IF(H1="中國文學",H11*1.5,H11)</f>
        <v>6E-10</v>
      </c>
      <c r="K359" s="43">
        <f>IF(I1="中國文學",I11*1.5,I11)</f>
        <v>6.9999999999999996E-10</v>
      </c>
      <c r="L359" s="43">
        <f>IF(J1="中國文學",J11*1.5,J11)</f>
        <v>8.0000000000000003E-10</v>
      </c>
      <c r="M359" s="43">
        <f>IF(K1="中國文學",K11*1.5,K11)</f>
        <v>8.9999999999999999E-10</v>
      </c>
      <c r="N359" s="43">
        <f>L11</f>
        <v>9.5000000000000003E-10</v>
      </c>
    </row>
    <row r="360" spans="1:14">
      <c r="A360" s="43" t="s">
        <v>1324</v>
      </c>
      <c r="B360" s="162" t="s">
        <v>1325</v>
      </c>
      <c r="C360" s="43" t="s">
        <v>214</v>
      </c>
      <c r="D360" s="43">
        <f t="shared" si="299"/>
        <v>3.9500000000000006E-9</v>
      </c>
      <c r="E360" s="43">
        <f>C11*2</f>
        <v>2.0000000000000001E-10</v>
      </c>
      <c r="F360" s="43">
        <f>D11</f>
        <v>2.0000000000000001E-10</v>
      </c>
      <c r="G360" s="43">
        <f>E11</f>
        <v>3E-10</v>
      </c>
      <c r="H360" s="43">
        <f>F11</f>
        <v>4.0000000000000001E-10</v>
      </c>
      <c r="J360" s="43">
        <f>IF(H1="中國文學",H11*1.5,H11)</f>
        <v>6E-10</v>
      </c>
      <c r="K360" s="43">
        <f t="shared" ref="K360:M360" si="300">IF(I1="中國文學",I11*1.5,I11)</f>
        <v>6.9999999999999996E-10</v>
      </c>
      <c r="L360" s="43">
        <f t="shared" si="300"/>
        <v>8.0000000000000003E-10</v>
      </c>
      <c r="M360" s="43">
        <f t="shared" si="300"/>
        <v>8.9999999999999999E-10</v>
      </c>
      <c r="N360" s="43">
        <f>L11</f>
        <v>9.5000000000000003E-10</v>
      </c>
    </row>
    <row r="361" spans="1:14">
      <c r="A361" s="43" t="s">
        <v>1327</v>
      </c>
      <c r="B361" s="162" t="s">
        <v>1328</v>
      </c>
      <c r="C361" s="43" t="s">
        <v>214</v>
      </c>
      <c r="D361" s="43">
        <f t="shared" si="299"/>
        <v>3.9500000000000006E-9</v>
      </c>
      <c r="E361" s="43">
        <f>C11</f>
        <v>1E-10</v>
      </c>
      <c r="F361" s="43">
        <f>D11</f>
        <v>2.0000000000000001E-10</v>
      </c>
      <c r="G361" s="43">
        <f>E11</f>
        <v>3E-10</v>
      </c>
      <c r="H361" s="43">
        <f>F11</f>
        <v>4.0000000000000001E-10</v>
      </c>
      <c r="J361" s="43">
        <f>H11</f>
        <v>6E-10</v>
      </c>
      <c r="K361" s="43">
        <f>I11</f>
        <v>6.9999999999999996E-10</v>
      </c>
      <c r="L361" s="43">
        <f>J11</f>
        <v>8.0000000000000003E-10</v>
      </c>
      <c r="M361" s="43">
        <f>K11</f>
        <v>8.9999999999999999E-10</v>
      </c>
      <c r="N361" s="43">
        <f>L11</f>
        <v>9.5000000000000003E-10</v>
      </c>
    </row>
    <row r="362" spans="1:14">
      <c r="A362" s="43" t="s">
        <v>1330</v>
      </c>
      <c r="B362" s="162" t="s">
        <v>1331</v>
      </c>
      <c r="C362" s="43" t="s">
        <v>214</v>
      </c>
      <c r="D362" s="43">
        <f t="shared" si="299"/>
        <v>3.9500000000000006E-9</v>
      </c>
      <c r="E362" s="43">
        <f>C11</f>
        <v>1E-10</v>
      </c>
      <c r="F362" s="43">
        <f>D11</f>
        <v>2.0000000000000001E-10</v>
      </c>
      <c r="G362" s="43">
        <f>E11</f>
        <v>3E-10</v>
      </c>
      <c r="H362" s="43">
        <f>F11</f>
        <v>4.0000000000000001E-10</v>
      </c>
      <c r="J362" s="43">
        <f>H11</f>
        <v>6E-10</v>
      </c>
      <c r="K362" s="43">
        <f>I11</f>
        <v>6.9999999999999996E-10</v>
      </c>
      <c r="L362" s="43">
        <f>J11</f>
        <v>8.0000000000000003E-10</v>
      </c>
      <c r="M362" s="43">
        <f>K11</f>
        <v>8.9999999999999999E-10</v>
      </c>
      <c r="N362" s="43">
        <f>L11</f>
        <v>9.5000000000000003E-10</v>
      </c>
    </row>
    <row r="363" spans="1:14">
      <c r="A363" s="43" t="s">
        <v>1333</v>
      </c>
      <c r="B363" s="162" t="s">
        <v>1334</v>
      </c>
      <c r="C363" s="43" t="s">
        <v>1379</v>
      </c>
      <c r="D363" s="43">
        <f t="shared" si="298"/>
        <v>1.9500000000000001E-9</v>
      </c>
      <c r="E363" s="43">
        <f>C11</f>
        <v>1E-10</v>
      </c>
      <c r="F363" s="43">
        <f>D11</f>
        <v>2.0000000000000001E-10</v>
      </c>
      <c r="G363" s="43">
        <f>E11</f>
        <v>3E-10</v>
      </c>
      <c r="H363" s="43">
        <f>F11</f>
        <v>4.0000000000000001E-10</v>
      </c>
      <c r="J363" s="43">
        <f>H11</f>
        <v>6E-10</v>
      </c>
      <c r="K363" s="43">
        <f>I11</f>
        <v>6.9999999999999996E-10</v>
      </c>
      <c r="L363" s="43">
        <f>J11</f>
        <v>8.0000000000000003E-10</v>
      </c>
      <c r="M363" s="43">
        <f>K11</f>
        <v>8.9999999999999999E-10</v>
      </c>
      <c r="N363" s="43">
        <f>L11</f>
        <v>9.5000000000000003E-10</v>
      </c>
    </row>
    <row r="364" spans="1:14">
      <c r="A364" s="43" t="s">
        <v>1336</v>
      </c>
      <c r="B364" s="162" t="s">
        <v>1337</v>
      </c>
      <c r="C364" s="43" t="s">
        <v>1379</v>
      </c>
      <c r="D364" s="43">
        <f t="shared" si="298"/>
        <v>1.9500000000000001E-9</v>
      </c>
      <c r="E364" s="43">
        <f>C11</f>
        <v>1E-10</v>
      </c>
      <c r="F364" s="43">
        <f>D11</f>
        <v>2.0000000000000001E-10</v>
      </c>
      <c r="G364" s="43">
        <f>E11</f>
        <v>3E-10</v>
      </c>
      <c r="H364" s="43">
        <f>F11</f>
        <v>4.0000000000000001E-10</v>
      </c>
      <c r="J364" s="43">
        <f>H11</f>
        <v>6E-10</v>
      </c>
      <c r="K364" s="43">
        <f>I11</f>
        <v>6.9999999999999996E-10</v>
      </c>
      <c r="L364" s="43">
        <f>J11</f>
        <v>8.0000000000000003E-10</v>
      </c>
      <c r="M364" s="43">
        <f>K11</f>
        <v>8.9999999999999999E-10</v>
      </c>
      <c r="N364" s="43">
        <f>L11</f>
        <v>9.5000000000000003E-10</v>
      </c>
    </row>
    <row r="365" spans="1:14">
      <c r="A365" s="43" t="s">
        <v>1339</v>
      </c>
      <c r="B365" s="162" t="s">
        <v>1340</v>
      </c>
      <c r="C365" s="43" t="s">
        <v>1379</v>
      </c>
      <c r="D365" s="43">
        <f t="shared" si="298"/>
        <v>1.9500000000000001E-9</v>
      </c>
      <c r="E365" s="43">
        <f>C11</f>
        <v>1E-10</v>
      </c>
      <c r="F365" s="43">
        <f>D11</f>
        <v>2.0000000000000001E-10</v>
      </c>
      <c r="G365" s="43">
        <f>E11</f>
        <v>3E-10</v>
      </c>
      <c r="H365" s="43">
        <f>F11</f>
        <v>4.0000000000000001E-10</v>
      </c>
      <c r="J365" s="43">
        <f>H11</f>
        <v>6E-10</v>
      </c>
      <c r="K365" s="43">
        <f>I11</f>
        <v>6.9999999999999996E-10</v>
      </c>
      <c r="L365" s="43">
        <f>J11</f>
        <v>8.0000000000000003E-10</v>
      </c>
      <c r="M365" s="43">
        <f>K11</f>
        <v>8.9999999999999999E-10</v>
      </c>
      <c r="N365" s="43">
        <f>L11</f>
        <v>9.5000000000000003E-10</v>
      </c>
    </row>
    <row r="366" spans="1:14">
      <c r="A366" s="43" t="s">
        <v>1342</v>
      </c>
      <c r="B366" s="162" t="s">
        <v>1343</v>
      </c>
      <c r="C366" s="43" t="s">
        <v>1379</v>
      </c>
      <c r="D366" s="43">
        <f t="shared" si="298"/>
        <v>1.9500000000000001E-9</v>
      </c>
      <c r="E366" s="43">
        <f>C11</f>
        <v>1E-10</v>
      </c>
      <c r="F366" s="43">
        <f>D11</f>
        <v>2.0000000000000001E-10</v>
      </c>
      <c r="G366" s="43">
        <f>E11</f>
        <v>3E-10</v>
      </c>
      <c r="H366" s="43">
        <f>F11</f>
        <v>4.0000000000000001E-10</v>
      </c>
      <c r="J366" s="43">
        <f>H11</f>
        <v>6E-10</v>
      </c>
      <c r="K366" s="43">
        <f>I11</f>
        <v>6.9999999999999996E-10</v>
      </c>
      <c r="L366" s="43">
        <f>J11</f>
        <v>8.0000000000000003E-10</v>
      </c>
      <c r="M366" s="43">
        <f>K11</f>
        <v>8.9999999999999999E-10</v>
      </c>
      <c r="N366" s="43">
        <f>L11</f>
        <v>9.5000000000000003E-10</v>
      </c>
    </row>
    <row r="367" spans="1:14">
      <c r="A367" s="43" t="s">
        <v>1345</v>
      </c>
      <c r="B367" s="162" t="s">
        <v>1346</v>
      </c>
      <c r="C367" s="43" t="s">
        <v>1379</v>
      </c>
      <c r="D367" s="43">
        <f t="shared" si="298"/>
        <v>1.9500000000000001E-9</v>
      </c>
      <c r="E367" s="43">
        <f>C11</f>
        <v>1E-10</v>
      </c>
      <c r="F367" s="43">
        <f>D11</f>
        <v>2.0000000000000001E-10</v>
      </c>
      <c r="G367" s="43">
        <f>E11</f>
        <v>3E-10</v>
      </c>
      <c r="H367" s="43">
        <f>F11</f>
        <v>4.0000000000000001E-10</v>
      </c>
      <c r="J367" s="43">
        <f>H11</f>
        <v>6E-10</v>
      </c>
      <c r="K367" s="43">
        <f>I11</f>
        <v>6.9999999999999996E-10</v>
      </c>
      <c r="L367" s="43">
        <f>J11</f>
        <v>8.0000000000000003E-10</v>
      </c>
      <c r="M367" s="43">
        <f>K11</f>
        <v>8.9999999999999999E-10</v>
      </c>
      <c r="N367" s="43">
        <f>L11</f>
        <v>9.5000000000000003E-10</v>
      </c>
    </row>
    <row r="368" spans="1:14">
      <c r="A368" s="43" t="s">
        <v>1348</v>
      </c>
      <c r="B368" s="162" t="s">
        <v>1349</v>
      </c>
      <c r="C368" s="43" t="s">
        <v>1379</v>
      </c>
      <c r="D368" s="43">
        <f t="shared" si="298"/>
        <v>2.2500000000000003E-9</v>
      </c>
      <c r="E368" s="43">
        <f>C11*2</f>
        <v>2.0000000000000001E-10</v>
      </c>
      <c r="F368" s="43">
        <f>D11*2</f>
        <v>4.0000000000000001E-10</v>
      </c>
      <c r="G368" s="43">
        <f>E11</f>
        <v>3E-10</v>
      </c>
      <c r="H368" s="43">
        <f>F11</f>
        <v>4.0000000000000001E-10</v>
      </c>
      <c r="J368" s="43">
        <f>IF(OR(H1="生物",H1="物理",H1="組合科學 (物理、生物)"),H11*2,H11)</f>
        <v>6E-10</v>
      </c>
      <c r="K368" s="43">
        <f t="shared" ref="K368:M368" si="301">IF(OR(I1="生物",I1="物理",I1="組合科學 (物理、生物)"),I11*2,I11)</f>
        <v>6.9999999999999996E-10</v>
      </c>
      <c r="L368" s="43">
        <f t="shared" si="301"/>
        <v>8.0000000000000003E-10</v>
      </c>
      <c r="M368" s="43">
        <f t="shared" si="301"/>
        <v>8.9999999999999999E-10</v>
      </c>
      <c r="N368" s="43">
        <f>L11</f>
        <v>9.5000000000000003E-10</v>
      </c>
    </row>
    <row r="370" spans="1:14">
      <c r="D370" s="43" t="str">
        <f>B1</f>
        <v>總分</v>
      </c>
      <c r="E370" s="43" t="str">
        <f t="shared" ref="E370:N370" si="302">C1</f>
        <v>中國語文</v>
      </c>
      <c r="F370" s="43" t="str">
        <f t="shared" si="302"/>
        <v>英國語文</v>
      </c>
      <c r="G370" s="43" t="str">
        <f t="shared" si="302"/>
        <v>數學</v>
      </c>
      <c r="H370" s="43" t="str">
        <f t="shared" si="302"/>
        <v>通識教育</v>
      </c>
      <c r="I370" s="43" t="str">
        <f t="shared" si="302"/>
        <v>數學延伸</v>
      </c>
      <c r="J370" s="43" t="str">
        <f t="shared" si="302"/>
        <v>請選擇第一選修科</v>
      </c>
      <c r="K370" s="43" t="str">
        <f t="shared" si="302"/>
        <v>請選擇第二選修科</v>
      </c>
      <c r="L370" s="43" t="str">
        <f t="shared" si="302"/>
        <v>請選擇第三選修科</v>
      </c>
      <c r="M370" s="43" t="str">
        <f t="shared" si="302"/>
        <v>請選擇第四選修科</v>
      </c>
      <c r="N370" s="43" t="str">
        <f t="shared" si="302"/>
        <v>請選擇語言科目</v>
      </c>
    </row>
    <row r="371" spans="1:14">
      <c r="A371" s="43" t="s">
        <v>1391</v>
      </c>
      <c r="B371" s="162" t="s">
        <v>1491</v>
      </c>
      <c r="C371" s="43" t="s">
        <v>1379</v>
      </c>
      <c r="D371" s="43">
        <f>SUM(E371:H371)+LARGE(I371:N371,1)</f>
        <v>1.9000000000000001E-9</v>
      </c>
      <c r="E371" s="43">
        <f>C11</f>
        <v>1E-10</v>
      </c>
      <c r="F371" s="43">
        <f>D11</f>
        <v>2.0000000000000001E-10</v>
      </c>
      <c r="G371" s="43">
        <f>E11</f>
        <v>3E-10</v>
      </c>
      <c r="H371" s="43">
        <f>F11</f>
        <v>4.0000000000000001E-10</v>
      </c>
      <c r="J371" s="43">
        <f>H11</f>
        <v>6E-10</v>
      </c>
      <c r="K371" s="43">
        <f>I11</f>
        <v>6.9999999999999996E-10</v>
      </c>
      <c r="L371" s="43">
        <f>J11</f>
        <v>8.0000000000000003E-10</v>
      </c>
      <c r="M371" s="43">
        <f>K11</f>
        <v>8.9999999999999999E-10</v>
      </c>
    </row>
    <row r="372" spans="1:14">
      <c r="A372" s="43" t="s">
        <v>1393</v>
      </c>
      <c r="B372" s="162" t="s">
        <v>1492</v>
      </c>
      <c r="C372" s="43" t="s">
        <v>1379</v>
      </c>
      <c r="D372" s="43">
        <f t="shared" ref="D372:D392" si="303">SUM(E372:H372)+LARGE(I372:N372,1)</f>
        <v>1.9000000000000001E-9</v>
      </c>
      <c r="E372" s="43">
        <f>C11</f>
        <v>1E-10</v>
      </c>
      <c r="F372" s="43">
        <f>D11</f>
        <v>2.0000000000000001E-10</v>
      </c>
      <c r="G372" s="43">
        <f>E11</f>
        <v>3E-10</v>
      </c>
      <c r="H372" s="43">
        <f>F11</f>
        <v>4.0000000000000001E-10</v>
      </c>
      <c r="J372" s="43">
        <f>H11</f>
        <v>6E-10</v>
      </c>
      <c r="K372" s="43">
        <f>I11</f>
        <v>6.9999999999999996E-10</v>
      </c>
      <c r="L372" s="43">
        <f>J11</f>
        <v>8.0000000000000003E-10</v>
      </c>
      <c r="M372" s="43">
        <f>K11</f>
        <v>8.9999999999999999E-10</v>
      </c>
    </row>
    <row r="373" spans="1:14">
      <c r="A373" s="43" t="s">
        <v>1395</v>
      </c>
      <c r="B373" s="162" t="s">
        <v>1493</v>
      </c>
      <c r="C373" s="43" t="s">
        <v>1379</v>
      </c>
      <c r="D373" s="43">
        <f t="shared" si="303"/>
        <v>1.9500000000000001E-9</v>
      </c>
      <c r="E373" s="43">
        <f t="shared" ref="E373:M373" si="304">C11</f>
        <v>1E-10</v>
      </c>
      <c r="F373" s="43">
        <f t="shared" si="304"/>
        <v>2.0000000000000001E-10</v>
      </c>
      <c r="G373" s="43">
        <f t="shared" si="304"/>
        <v>3E-10</v>
      </c>
      <c r="H373" s="43">
        <f t="shared" si="304"/>
        <v>4.0000000000000001E-10</v>
      </c>
      <c r="I373" s="43">
        <f t="shared" si="304"/>
        <v>0</v>
      </c>
      <c r="J373" s="43">
        <f t="shared" si="304"/>
        <v>6E-10</v>
      </c>
      <c r="K373" s="43">
        <f t="shared" si="304"/>
        <v>6.9999999999999996E-10</v>
      </c>
      <c r="L373" s="43">
        <f t="shared" si="304"/>
        <v>8.0000000000000003E-10</v>
      </c>
      <c r="M373" s="43">
        <f t="shared" si="304"/>
        <v>8.9999999999999999E-10</v>
      </c>
      <c r="N373" s="43">
        <f>N11</f>
        <v>9.5000000000000003E-10</v>
      </c>
    </row>
    <row r="374" spans="1:14">
      <c r="A374" s="43" t="s">
        <v>1398</v>
      </c>
      <c r="B374" s="162" t="s">
        <v>1494</v>
      </c>
      <c r="C374" s="43" t="s">
        <v>1379</v>
      </c>
      <c r="D374" s="43">
        <f t="shared" si="303"/>
        <v>1.9500000000000001E-9</v>
      </c>
      <c r="E374" s="43">
        <f t="shared" ref="E374:M374" si="305">C11</f>
        <v>1E-10</v>
      </c>
      <c r="F374" s="43">
        <f t="shared" si="305"/>
        <v>2.0000000000000001E-10</v>
      </c>
      <c r="G374" s="43">
        <f t="shared" si="305"/>
        <v>3E-10</v>
      </c>
      <c r="H374" s="43">
        <f t="shared" si="305"/>
        <v>4.0000000000000001E-10</v>
      </c>
      <c r="I374" s="43">
        <f t="shared" si="305"/>
        <v>0</v>
      </c>
      <c r="J374" s="43">
        <f t="shared" si="305"/>
        <v>6E-10</v>
      </c>
      <c r="K374" s="43">
        <f t="shared" si="305"/>
        <v>6.9999999999999996E-10</v>
      </c>
      <c r="L374" s="43">
        <f t="shared" si="305"/>
        <v>8.0000000000000003E-10</v>
      </c>
      <c r="M374" s="43">
        <f t="shared" si="305"/>
        <v>8.9999999999999999E-10</v>
      </c>
      <c r="N374" s="43">
        <f>N11</f>
        <v>9.5000000000000003E-10</v>
      </c>
    </row>
    <row r="375" spans="1:14">
      <c r="A375" s="43" t="s">
        <v>1400</v>
      </c>
      <c r="B375" s="162" t="s">
        <v>1495</v>
      </c>
      <c r="C375" s="43" t="s">
        <v>1379</v>
      </c>
      <c r="D375" s="43">
        <f t="shared" si="303"/>
        <v>1.9500000000000001E-9</v>
      </c>
      <c r="E375" s="43">
        <f t="shared" ref="E375:M375" si="306">C11</f>
        <v>1E-10</v>
      </c>
      <c r="F375" s="43">
        <f t="shared" si="306"/>
        <v>2.0000000000000001E-10</v>
      </c>
      <c r="G375" s="43">
        <f t="shared" si="306"/>
        <v>3E-10</v>
      </c>
      <c r="H375" s="43">
        <f t="shared" si="306"/>
        <v>4.0000000000000001E-10</v>
      </c>
      <c r="I375" s="43">
        <f t="shared" si="306"/>
        <v>0</v>
      </c>
      <c r="J375" s="43">
        <f t="shared" si="306"/>
        <v>6E-10</v>
      </c>
      <c r="K375" s="43">
        <f t="shared" si="306"/>
        <v>6.9999999999999996E-10</v>
      </c>
      <c r="L375" s="43">
        <f t="shared" si="306"/>
        <v>8.0000000000000003E-10</v>
      </c>
      <c r="M375" s="43">
        <f t="shared" si="306"/>
        <v>8.9999999999999999E-10</v>
      </c>
      <c r="N375" s="43">
        <f>N11</f>
        <v>9.5000000000000003E-10</v>
      </c>
    </row>
    <row r="376" spans="1:14">
      <c r="A376" s="43" t="s">
        <v>1402</v>
      </c>
      <c r="B376" s="162" t="s">
        <v>1497</v>
      </c>
      <c r="C376" s="43" t="s">
        <v>1379</v>
      </c>
      <c r="D376" s="43">
        <f t="shared" si="303"/>
        <v>1.9000000000000001E-9</v>
      </c>
      <c r="E376" s="43">
        <f t="shared" ref="E376:M376" si="307">C11</f>
        <v>1E-10</v>
      </c>
      <c r="F376" s="43">
        <f t="shared" si="307"/>
        <v>2.0000000000000001E-10</v>
      </c>
      <c r="G376" s="43">
        <f t="shared" si="307"/>
        <v>3E-10</v>
      </c>
      <c r="H376" s="43">
        <f t="shared" si="307"/>
        <v>4.0000000000000001E-10</v>
      </c>
      <c r="I376" s="43">
        <f t="shared" si="307"/>
        <v>0</v>
      </c>
      <c r="J376" s="43">
        <f t="shared" si="307"/>
        <v>6E-10</v>
      </c>
      <c r="K376" s="43">
        <f t="shared" si="307"/>
        <v>6.9999999999999996E-10</v>
      </c>
      <c r="L376" s="43">
        <f t="shared" si="307"/>
        <v>8.0000000000000003E-10</v>
      </c>
      <c r="M376" s="43">
        <f t="shared" si="307"/>
        <v>8.9999999999999999E-10</v>
      </c>
    </row>
    <row r="377" spans="1:14">
      <c r="A377" s="43" t="s">
        <v>1404</v>
      </c>
      <c r="B377" s="162" t="s">
        <v>1498</v>
      </c>
      <c r="C377" s="43" t="s">
        <v>1379</v>
      </c>
      <c r="D377" s="43">
        <f t="shared" si="303"/>
        <v>1.9000000000000001E-9</v>
      </c>
      <c r="E377" s="43">
        <f t="shared" ref="E377:M377" si="308">C11</f>
        <v>1E-10</v>
      </c>
      <c r="F377" s="43">
        <f t="shared" si="308"/>
        <v>2.0000000000000001E-10</v>
      </c>
      <c r="G377" s="43">
        <f t="shared" si="308"/>
        <v>3E-10</v>
      </c>
      <c r="H377" s="43">
        <f t="shared" si="308"/>
        <v>4.0000000000000001E-10</v>
      </c>
      <c r="I377" s="43">
        <f t="shared" si="308"/>
        <v>0</v>
      </c>
      <c r="J377" s="43">
        <f t="shared" si="308"/>
        <v>6E-10</v>
      </c>
      <c r="K377" s="43">
        <f t="shared" si="308"/>
        <v>6.9999999999999996E-10</v>
      </c>
      <c r="L377" s="43">
        <f t="shared" si="308"/>
        <v>8.0000000000000003E-10</v>
      </c>
      <c r="M377" s="43">
        <f t="shared" si="308"/>
        <v>8.9999999999999999E-10</v>
      </c>
    </row>
    <row r="378" spans="1:14">
      <c r="A378" s="43" t="s">
        <v>1406</v>
      </c>
      <c r="B378" s="162" t="s">
        <v>1499</v>
      </c>
      <c r="C378" s="43" t="s">
        <v>1379</v>
      </c>
      <c r="D378" s="43">
        <f t="shared" si="303"/>
        <v>1.9000000000000001E-9</v>
      </c>
      <c r="E378" s="43">
        <f t="shared" ref="E378:M378" si="309">C11</f>
        <v>1E-10</v>
      </c>
      <c r="F378" s="43">
        <f t="shared" si="309"/>
        <v>2.0000000000000001E-10</v>
      </c>
      <c r="G378" s="43">
        <f t="shared" si="309"/>
        <v>3E-10</v>
      </c>
      <c r="H378" s="43">
        <f t="shared" si="309"/>
        <v>4.0000000000000001E-10</v>
      </c>
      <c r="I378" s="43">
        <f t="shared" si="309"/>
        <v>0</v>
      </c>
      <c r="J378" s="43">
        <f t="shared" si="309"/>
        <v>6E-10</v>
      </c>
      <c r="K378" s="43">
        <f t="shared" si="309"/>
        <v>6.9999999999999996E-10</v>
      </c>
      <c r="L378" s="43">
        <f t="shared" si="309"/>
        <v>8.0000000000000003E-10</v>
      </c>
      <c r="M378" s="43">
        <f t="shared" si="309"/>
        <v>8.9999999999999999E-10</v>
      </c>
    </row>
    <row r="379" spans="1:14">
      <c r="A379" s="43" t="s">
        <v>1408</v>
      </c>
      <c r="B379" s="162" t="s">
        <v>1500</v>
      </c>
      <c r="C379" s="43" t="s">
        <v>1379</v>
      </c>
      <c r="D379" s="43">
        <f t="shared" si="303"/>
        <v>1.9000000000000001E-9</v>
      </c>
      <c r="E379" s="43">
        <f t="shared" ref="E379:M379" si="310">C11</f>
        <v>1E-10</v>
      </c>
      <c r="F379" s="43">
        <f t="shared" si="310"/>
        <v>2.0000000000000001E-10</v>
      </c>
      <c r="G379" s="43">
        <f t="shared" si="310"/>
        <v>3E-10</v>
      </c>
      <c r="H379" s="43">
        <f t="shared" si="310"/>
        <v>4.0000000000000001E-10</v>
      </c>
      <c r="I379" s="43">
        <f t="shared" si="310"/>
        <v>0</v>
      </c>
      <c r="J379" s="43">
        <f t="shared" si="310"/>
        <v>6E-10</v>
      </c>
      <c r="K379" s="43">
        <f t="shared" si="310"/>
        <v>6.9999999999999996E-10</v>
      </c>
      <c r="L379" s="43">
        <f t="shared" si="310"/>
        <v>8.0000000000000003E-10</v>
      </c>
      <c r="M379" s="43">
        <f t="shared" si="310"/>
        <v>8.9999999999999999E-10</v>
      </c>
    </row>
    <row r="380" spans="1:14">
      <c r="A380" s="43" t="s">
        <v>1410</v>
      </c>
      <c r="B380" s="162" t="s">
        <v>1501</v>
      </c>
      <c r="C380" s="43" t="s">
        <v>1379</v>
      </c>
      <c r="D380" s="43">
        <f t="shared" si="303"/>
        <v>1.9000000000000001E-9</v>
      </c>
      <c r="E380" s="43">
        <f t="shared" ref="E380:M380" si="311">C11</f>
        <v>1E-10</v>
      </c>
      <c r="F380" s="43">
        <f t="shared" si="311"/>
        <v>2.0000000000000001E-10</v>
      </c>
      <c r="G380" s="43">
        <f t="shared" si="311"/>
        <v>3E-10</v>
      </c>
      <c r="H380" s="43">
        <f t="shared" si="311"/>
        <v>4.0000000000000001E-10</v>
      </c>
      <c r="I380" s="43">
        <f t="shared" si="311"/>
        <v>0</v>
      </c>
      <c r="J380" s="43">
        <f t="shared" si="311"/>
        <v>6E-10</v>
      </c>
      <c r="K380" s="43">
        <f t="shared" si="311"/>
        <v>6.9999999999999996E-10</v>
      </c>
      <c r="L380" s="43">
        <f t="shared" si="311"/>
        <v>8.0000000000000003E-10</v>
      </c>
      <c r="M380" s="43">
        <f t="shared" si="311"/>
        <v>8.9999999999999999E-10</v>
      </c>
    </row>
    <row r="381" spans="1:14">
      <c r="A381" s="43" t="s">
        <v>1412</v>
      </c>
      <c r="B381" s="162" t="s">
        <v>1502</v>
      </c>
      <c r="C381" s="43" t="s">
        <v>1379</v>
      </c>
      <c r="D381" s="43">
        <f t="shared" si="303"/>
        <v>1.9000000000000001E-9</v>
      </c>
      <c r="E381" s="43">
        <f>C11</f>
        <v>1E-10</v>
      </c>
      <c r="F381" s="43">
        <f>D11</f>
        <v>2.0000000000000001E-10</v>
      </c>
      <c r="G381" s="43">
        <f>E11</f>
        <v>3E-10</v>
      </c>
      <c r="H381" s="43">
        <f>F11</f>
        <v>4.0000000000000001E-10</v>
      </c>
      <c r="J381" s="43">
        <f>H11</f>
        <v>6E-10</v>
      </c>
      <c r="K381" s="43">
        <f>I11</f>
        <v>6.9999999999999996E-10</v>
      </c>
      <c r="L381" s="43">
        <f>J11</f>
        <v>8.0000000000000003E-10</v>
      </c>
      <c r="M381" s="43">
        <f>K11</f>
        <v>8.9999999999999999E-10</v>
      </c>
    </row>
    <row r="382" spans="1:14">
      <c r="A382" s="43" t="s">
        <v>1415</v>
      </c>
      <c r="B382" s="162" t="s">
        <v>1503</v>
      </c>
      <c r="C382" s="43" t="s">
        <v>1379</v>
      </c>
      <c r="D382" s="43">
        <f t="shared" si="303"/>
        <v>1.9000000000000001E-9</v>
      </c>
      <c r="E382" s="43">
        <f>C11</f>
        <v>1E-10</v>
      </c>
      <c r="F382" s="43">
        <f>D11</f>
        <v>2.0000000000000001E-10</v>
      </c>
      <c r="G382" s="43">
        <f>E11</f>
        <v>3E-10</v>
      </c>
      <c r="H382" s="43">
        <f>F11</f>
        <v>4.0000000000000001E-10</v>
      </c>
      <c r="J382" s="43">
        <f>H11</f>
        <v>6E-10</v>
      </c>
      <c r="K382" s="43">
        <f>I11</f>
        <v>6.9999999999999996E-10</v>
      </c>
      <c r="L382" s="43">
        <f>J11</f>
        <v>8.0000000000000003E-10</v>
      </c>
      <c r="M382" s="43">
        <f>K11</f>
        <v>8.9999999999999999E-10</v>
      </c>
    </row>
    <row r="383" spans="1:14">
      <c r="A383" s="43" t="s">
        <v>1417</v>
      </c>
      <c r="B383" s="162" t="s">
        <v>1504</v>
      </c>
      <c r="C383" s="43" t="s">
        <v>1379</v>
      </c>
      <c r="D383" s="43">
        <f t="shared" si="303"/>
        <v>1.9000000000000001E-9</v>
      </c>
      <c r="E383" s="43">
        <f>C11</f>
        <v>1E-10</v>
      </c>
      <c r="F383" s="43">
        <f>D11</f>
        <v>2.0000000000000001E-10</v>
      </c>
      <c r="G383" s="43">
        <f>E11</f>
        <v>3E-10</v>
      </c>
      <c r="H383" s="43">
        <f>F11</f>
        <v>4.0000000000000001E-10</v>
      </c>
      <c r="J383" s="43">
        <f>H11</f>
        <v>6E-10</v>
      </c>
      <c r="K383" s="43">
        <f>I11</f>
        <v>6.9999999999999996E-10</v>
      </c>
      <c r="L383" s="43">
        <f>J11</f>
        <v>8.0000000000000003E-10</v>
      </c>
      <c r="M383" s="43">
        <f>K11</f>
        <v>8.9999999999999999E-10</v>
      </c>
    </row>
    <row r="384" spans="1:14">
      <c r="A384" s="43" t="s">
        <v>1419</v>
      </c>
      <c r="B384" s="162" t="s">
        <v>1505</v>
      </c>
      <c r="C384" s="43" t="s">
        <v>1379</v>
      </c>
      <c r="D384" s="43">
        <f t="shared" si="303"/>
        <v>1.9000000000000001E-9</v>
      </c>
      <c r="E384" s="43">
        <f>C11</f>
        <v>1E-10</v>
      </c>
      <c r="F384" s="43">
        <f>D11</f>
        <v>2.0000000000000001E-10</v>
      </c>
      <c r="G384" s="43">
        <f>E11</f>
        <v>3E-10</v>
      </c>
      <c r="H384" s="43">
        <f>F11</f>
        <v>4.0000000000000001E-10</v>
      </c>
      <c r="J384" s="43">
        <f>H11</f>
        <v>6E-10</v>
      </c>
      <c r="K384" s="43">
        <f>I11</f>
        <v>6.9999999999999996E-10</v>
      </c>
      <c r="L384" s="43">
        <f>J11</f>
        <v>8.0000000000000003E-10</v>
      </c>
      <c r="M384" s="43">
        <f>K11</f>
        <v>8.9999999999999999E-10</v>
      </c>
    </row>
    <row r="385" spans="1:14">
      <c r="A385" s="43" t="s">
        <v>1421</v>
      </c>
      <c r="B385" s="162" t="s">
        <v>1506</v>
      </c>
      <c r="C385" s="43" t="s">
        <v>1379</v>
      </c>
      <c r="D385" s="43">
        <f t="shared" si="303"/>
        <v>1.9000000000000001E-9</v>
      </c>
      <c r="E385" s="43">
        <f>C11</f>
        <v>1E-10</v>
      </c>
      <c r="F385" s="43">
        <f>D11</f>
        <v>2.0000000000000001E-10</v>
      </c>
      <c r="G385" s="43">
        <f>E11</f>
        <v>3E-10</v>
      </c>
      <c r="H385" s="43">
        <f>F11</f>
        <v>4.0000000000000001E-10</v>
      </c>
      <c r="J385" s="43">
        <f>H11</f>
        <v>6E-10</v>
      </c>
      <c r="K385" s="43">
        <f>I11</f>
        <v>6.9999999999999996E-10</v>
      </c>
      <c r="L385" s="43">
        <f>J11</f>
        <v>8.0000000000000003E-10</v>
      </c>
      <c r="M385" s="43">
        <f>K11</f>
        <v>8.9999999999999999E-10</v>
      </c>
    </row>
    <row r="386" spans="1:14">
      <c r="A386" s="43" t="s">
        <v>1423</v>
      </c>
      <c r="B386" s="162" t="s">
        <v>1425</v>
      </c>
      <c r="C386" s="43" t="s">
        <v>1379</v>
      </c>
      <c r="D386" s="43">
        <f t="shared" si="303"/>
        <v>2.0999999999999998E-9</v>
      </c>
      <c r="E386" s="43">
        <f>C11*1.5</f>
        <v>1.5E-10</v>
      </c>
      <c r="F386" s="43">
        <f>D11*1.5</f>
        <v>3E-10</v>
      </c>
      <c r="G386" s="43">
        <f>E11</f>
        <v>3E-10</v>
      </c>
      <c r="H386" s="43">
        <f>F11</f>
        <v>4.0000000000000001E-10</v>
      </c>
      <c r="J386" s="43">
        <f>H11</f>
        <v>6E-10</v>
      </c>
      <c r="K386" s="43">
        <f>I11</f>
        <v>6.9999999999999996E-10</v>
      </c>
      <c r="L386" s="43">
        <f>J11</f>
        <v>8.0000000000000003E-10</v>
      </c>
      <c r="M386" s="43">
        <f>K11</f>
        <v>8.9999999999999999E-10</v>
      </c>
      <c r="N386" s="43">
        <f>L11</f>
        <v>9.5000000000000003E-10</v>
      </c>
    </row>
    <row r="387" spans="1:14">
      <c r="A387" s="43" t="s">
        <v>1427</v>
      </c>
      <c r="B387" s="162" t="s">
        <v>1428</v>
      </c>
      <c r="C387" s="43" t="s">
        <v>1379</v>
      </c>
      <c r="D387" s="43">
        <f t="shared" si="303"/>
        <v>1.9500000000000001E-9</v>
      </c>
      <c r="E387" s="43">
        <f>C11</f>
        <v>1E-10</v>
      </c>
      <c r="F387" s="43">
        <f>D11</f>
        <v>2.0000000000000001E-10</v>
      </c>
      <c r="G387" s="43">
        <f>E11</f>
        <v>3E-10</v>
      </c>
      <c r="H387" s="43">
        <f>F11</f>
        <v>4.0000000000000001E-10</v>
      </c>
      <c r="J387" s="43">
        <f>H11</f>
        <v>6E-10</v>
      </c>
      <c r="K387" s="43">
        <f>I11</f>
        <v>6.9999999999999996E-10</v>
      </c>
      <c r="L387" s="43">
        <f>J11</f>
        <v>8.0000000000000003E-10</v>
      </c>
      <c r="M387" s="43">
        <f>K11</f>
        <v>8.9999999999999999E-10</v>
      </c>
      <c r="N387" s="43">
        <f>L11</f>
        <v>9.5000000000000003E-10</v>
      </c>
    </row>
    <row r="388" spans="1:14">
      <c r="A388" s="43" t="s">
        <v>1430</v>
      </c>
      <c r="B388" s="162" t="s">
        <v>1431</v>
      </c>
      <c r="C388" s="43" t="s">
        <v>1379</v>
      </c>
      <c r="D388" s="43">
        <f t="shared" si="303"/>
        <v>2.0999999999999998E-9</v>
      </c>
      <c r="E388" s="43">
        <f>C11*1.5</f>
        <v>1.5E-10</v>
      </c>
      <c r="F388" s="43">
        <f>D11*1.5</f>
        <v>3E-10</v>
      </c>
      <c r="G388" s="43">
        <f>E11</f>
        <v>3E-10</v>
      </c>
      <c r="H388" s="43">
        <f>F11</f>
        <v>4.0000000000000001E-10</v>
      </c>
      <c r="J388" s="43">
        <f>H11</f>
        <v>6E-10</v>
      </c>
      <c r="K388" s="43">
        <f>I11</f>
        <v>6.9999999999999996E-10</v>
      </c>
      <c r="L388" s="43">
        <f>J11</f>
        <v>8.0000000000000003E-10</v>
      </c>
      <c r="M388" s="43">
        <f>K11</f>
        <v>8.9999999999999999E-10</v>
      </c>
      <c r="N388" s="43">
        <f>L11</f>
        <v>9.5000000000000003E-10</v>
      </c>
    </row>
    <row r="389" spans="1:14">
      <c r="A389" s="43" t="s">
        <v>1433</v>
      </c>
      <c r="B389" s="162" t="s">
        <v>1434</v>
      </c>
      <c r="C389" s="43" t="s">
        <v>1379</v>
      </c>
      <c r="D389" s="43">
        <f t="shared" si="303"/>
        <v>1.9500000000000001E-9</v>
      </c>
      <c r="E389" s="43">
        <f>C11</f>
        <v>1E-10</v>
      </c>
      <c r="F389" s="43">
        <f>D11</f>
        <v>2.0000000000000001E-10</v>
      </c>
      <c r="G389" s="43">
        <f>E11</f>
        <v>3E-10</v>
      </c>
      <c r="H389" s="43">
        <f>F11</f>
        <v>4.0000000000000001E-10</v>
      </c>
      <c r="J389" s="43">
        <f>IF(OR(H1="物理",H1="化學",H1="生物",H1="組合科學 (物理、化學)",H1="組合科學 (生物、化學)",H1="組合科學 (物理、生物)",H1="綜合科學",H1="健康管理及社會關懷"),H11*1.2,H11)</f>
        <v>6E-10</v>
      </c>
      <c r="K389" s="43">
        <f>IF(OR(I1="物理",I1="化學",I1="生物",I1="組合科學 (物理、化學)",I1="組合科學 (生物、化學)",I1="組合科學 (物理、生物)",I1="綜合科學",I1="健康管理及社會關懷"),I11*1.2,I11)</f>
        <v>6.9999999999999996E-10</v>
      </c>
      <c r="L389" s="43">
        <f t="shared" ref="L389:M389" si="312">IF(OR(J1="物理",J1="化學",J1="生物",J1="組合科學 (物理、化學)",J1="組合科學 (生物、化學)",J1="組合科學 (物理、生物)",J1="綜合科學",J1="健康管理及社會關懷"),J11*1.2,J11)</f>
        <v>8.0000000000000003E-10</v>
      </c>
      <c r="M389" s="43">
        <f t="shared" si="312"/>
        <v>8.9999999999999999E-10</v>
      </c>
      <c r="N389" s="43">
        <f>L11</f>
        <v>9.5000000000000003E-10</v>
      </c>
    </row>
    <row r="390" spans="1:14">
      <c r="A390" s="43" t="s">
        <v>1436</v>
      </c>
      <c r="B390" s="162" t="s">
        <v>1437</v>
      </c>
      <c r="C390" s="43" t="s">
        <v>1379</v>
      </c>
      <c r="D390" s="43">
        <f t="shared" si="303"/>
        <v>1.9500000000000001E-9</v>
      </c>
      <c r="E390" s="43">
        <f>C11</f>
        <v>1E-10</v>
      </c>
      <c r="F390" s="43">
        <f>D11</f>
        <v>2.0000000000000001E-10</v>
      </c>
      <c r="G390" s="43">
        <f>E11</f>
        <v>3E-10</v>
      </c>
      <c r="H390" s="43">
        <f>F11</f>
        <v>4.0000000000000001E-10</v>
      </c>
      <c r="J390" s="43">
        <f>IF(OR(H1="物理",H1="化學",H1="生物",H1="組合科學 (物理、化學)",H1="組合科學 (生物、化學)",H1="組合科學 (物理、生物)",H1="綜合科學",H1="健康管理及社會關懷"),H11*1.2,H11)</f>
        <v>6E-10</v>
      </c>
      <c r="K390" s="43">
        <f t="shared" ref="K390:M390" si="313">IF(OR(I1="物理",I1="化學",I1="生物",I1="組合科學 (物理、化學)",I1="組合科學 (生物、化學)",I1="組合科學 (物理、生物)",I1="綜合科學",I1="健康管理及社會關懷"),I11*1.2,I11)</f>
        <v>6.9999999999999996E-10</v>
      </c>
      <c r="L390" s="43">
        <f t="shared" si="313"/>
        <v>8.0000000000000003E-10</v>
      </c>
      <c r="M390" s="43">
        <f t="shared" si="313"/>
        <v>8.9999999999999999E-10</v>
      </c>
      <c r="N390" s="43">
        <f>L11</f>
        <v>9.5000000000000003E-10</v>
      </c>
    </row>
    <row r="391" spans="1:14">
      <c r="A391" s="43" t="s">
        <v>1439</v>
      </c>
      <c r="B391" s="162" t="s">
        <v>1440</v>
      </c>
      <c r="C391" s="43" t="s">
        <v>1379</v>
      </c>
      <c r="D391" s="43">
        <f t="shared" si="303"/>
        <v>1.9500000000000001E-9</v>
      </c>
      <c r="E391" s="43">
        <f>C11</f>
        <v>1E-10</v>
      </c>
      <c r="F391" s="43">
        <f>D11</f>
        <v>2.0000000000000001E-10</v>
      </c>
      <c r="G391" s="43">
        <f>E11</f>
        <v>3E-10</v>
      </c>
      <c r="H391" s="43">
        <f>F11</f>
        <v>4.0000000000000001E-10</v>
      </c>
      <c r="J391" s="43">
        <f>H11</f>
        <v>6E-10</v>
      </c>
      <c r="K391" s="43">
        <f>I11</f>
        <v>6.9999999999999996E-10</v>
      </c>
      <c r="L391" s="43">
        <f>J11</f>
        <v>8.0000000000000003E-10</v>
      </c>
      <c r="M391" s="43">
        <f>K11</f>
        <v>8.9999999999999999E-10</v>
      </c>
      <c r="N391" s="43">
        <f>L11</f>
        <v>9.5000000000000003E-10</v>
      </c>
    </row>
    <row r="392" spans="1:14">
      <c r="A392" s="43" t="s">
        <v>1442</v>
      </c>
      <c r="B392" s="162" t="s">
        <v>1443</v>
      </c>
      <c r="C392" s="43" t="s">
        <v>1379</v>
      </c>
      <c r="D392" s="43">
        <f t="shared" si="303"/>
        <v>1.9500000000000001E-9</v>
      </c>
      <c r="E392" s="43">
        <f>C11</f>
        <v>1E-10</v>
      </c>
      <c r="F392" s="43">
        <f>D11</f>
        <v>2.0000000000000001E-10</v>
      </c>
      <c r="G392" s="43">
        <f>E11</f>
        <v>3E-10</v>
      </c>
      <c r="H392" s="43">
        <f>F11</f>
        <v>4.0000000000000001E-10</v>
      </c>
      <c r="J392" s="43">
        <f>H11</f>
        <v>6E-10</v>
      </c>
      <c r="K392" s="43">
        <f>I11</f>
        <v>6.9999999999999996E-10</v>
      </c>
      <c r="L392" s="43">
        <f>J11</f>
        <v>8.0000000000000003E-10</v>
      </c>
      <c r="M392" s="43">
        <f>K11</f>
        <v>8.9999999999999999E-10</v>
      </c>
      <c r="N392" s="43">
        <f>L11</f>
        <v>9.5000000000000003E-10</v>
      </c>
    </row>
    <row r="393" spans="1:14">
      <c r="A393" s="43" t="s">
        <v>1445</v>
      </c>
      <c r="B393" s="162" t="s">
        <v>1446</v>
      </c>
      <c r="C393" s="43" t="s">
        <v>214</v>
      </c>
      <c r="D393" s="43">
        <f>LARGE(E393:N393,1)+LARGE(E393:N393,2)+LARGE(E393:N393,3)+LARGE(E393:N393,4)+LARGE(E393:N393,5)</f>
        <v>3.9500000000000006E-9</v>
      </c>
      <c r="E393" s="43">
        <f>C11</f>
        <v>1E-10</v>
      </c>
      <c r="F393" s="43">
        <f>D11</f>
        <v>2.0000000000000001E-10</v>
      </c>
      <c r="G393" s="43">
        <f>E11</f>
        <v>3E-10</v>
      </c>
      <c r="H393" s="43">
        <f>F11</f>
        <v>4.0000000000000001E-10</v>
      </c>
      <c r="J393" s="43">
        <f>H11</f>
        <v>6E-10</v>
      </c>
      <c r="K393" s="43">
        <f>I11</f>
        <v>6.9999999999999996E-10</v>
      </c>
      <c r="L393" s="43">
        <f>J11</f>
        <v>8.0000000000000003E-10</v>
      </c>
      <c r="M393" s="43">
        <f>K11</f>
        <v>8.9999999999999999E-10</v>
      </c>
      <c r="N393" s="43">
        <f>L11</f>
        <v>9.5000000000000003E-10</v>
      </c>
    </row>
    <row r="394" spans="1:14">
      <c r="A394" s="43" t="s">
        <v>1448</v>
      </c>
      <c r="B394" s="162" t="s">
        <v>1449</v>
      </c>
      <c r="C394" s="43" t="s">
        <v>214</v>
      </c>
      <c r="D394" s="43">
        <f t="shared" ref="D394:D398" si="314">LARGE(E394:N394,1)+LARGE(E394:N394,2)+LARGE(E394:N394,3)+LARGE(E394:N394,4)+LARGE(E394:N394,5)</f>
        <v>3.9500000000000006E-9</v>
      </c>
      <c r="E394" s="43">
        <f>C11</f>
        <v>1E-10</v>
      </c>
      <c r="F394" s="43">
        <f>D11</f>
        <v>2.0000000000000001E-10</v>
      </c>
      <c r="G394" s="43">
        <f>E11</f>
        <v>3E-10</v>
      </c>
      <c r="H394" s="43">
        <f>F11</f>
        <v>4.0000000000000001E-10</v>
      </c>
      <c r="J394" s="43">
        <f>H11</f>
        <v>6E-10</v>
      </c>
      <c r="K394" s="43">
        <f>I11</f>
        <v>6.9999999999999996E-10</v>
      </c>
      <c r="L394" s="43">
        <f>J11</f>
        <v>8.0000000000000003E-10</v>
      </c>
      <c r="M394" s="43">
        <f>K11</f>
        <v>8.9999999999999999E-10</v>
      </c>
      <c r="N394" s="43">
        <f>L11</f>
        <v>9.5000000000000003E-10</v>
      </c>
    </row>
    <row r="395" spans="1:14">
      <c r="A395" s="43" t="s">
        <v>1451</v>
      </c>
      <c r="B395" s="162" t="s">
        <v>1452</v>
      </c>
      <c r="C395" s="43" t="s">
        <v>214</v>
      </c>
      <c r="D395" s="43">
        <f t="shared" si="314"/>
        <v>3.9500000000000006E-9</v>
      </c>
      <c r="E395" s="43">
        <f>C11</f>
        <v>1E-10</v>
      </c>
      <c r="F395" s="43">
        <f>D11</f>
        <v>2.0000000000000001E-10</v>
      </c>
      <c r="G395" s="43">
        <f>E11</f>
        <v>3E-10</v>
      </c>
      <c r="H395" s="43">
        <f>F11</f>
        <v>4.0000000000000001E-10</v>
      </c>
      <c r="J395" s="43">
        <f>H11</f>
        <v>6E-10</v>
      </c>
      <c r="K395" s="43">
        <f>I11</f>
        <v>6.9999999999999996E-10</v>
      </c>
      <c r="L395" s="43">
        <f>J11</f>
        <v>8.0000000000000003E-10</v>
      </c>
      <c r="M395" s="43">
        <f>K11</f>
        <v>8.9999999999999999E-10</v>
      </c>
      <c r="N395" s="43">
        <f>L11</f>
        <v>9.5000000000000003E-10</v>
      </c>
    </row>
    <row r="396" spans="1:14">
      <c r="A396" s="43" t="s">
        <v>1454</v>
      </c>
      <c r="B396" s="162" t="s">
        <v>1455</v>
      </c>
      <c r="C396" s="43" t="s">
        <v>214</v>
      </c>
      <c r="D396" s="43">
        <f t="shared" si="314"/>
        <v>3.9500000000000006E-9</v>
      </c>
      <c r="E396" s="43">
        <f>C11</f>
        <v>1E-10</v>
      </c>
      <c r="F396" s="43">
        <f>D11</f>
        <v>2.0000000000000001E-10</v>
      </c>
      <c r="G396" s="43">
        <f>E11</f>
        <v>3E-10</v>
      </c>
      <c r="H396" s="43">
        <f>F11</f>
        <v>4.0000000000000001E-10</v>
      </c>
      <c r="J396" s="43">
        <f>H11</f>
        <v>6E-10</v>
      </c>
      <c r="K396" s="43">
        <f>I11</f>
        <v>6.9999999999999996E-10</v>
      </c>
      <c r="L396" s="43">
        <f>J11</f>
        <v>8.0000000000000003E-10</v>
      </c>
      <c r="M396" s="43">
        <f>K11</f>
        <v>8.9999999999999999E-10</v>
      </c>
      <c r="N396" s="43">
        <f>L11</f>
        <v>9.5000000000000003E-10</v>
      </c>
    </row>
    <row r="397" spans="1:14">
      <c r="A397" s="43" t="s">
        <v>1457</v>
      </c>
      <c r="B397" s="162" t="s">
        <v>1458</v>
      </c>
      <c r="C397" s="43" t="s">
        <v>214</v>
      </c>
      <c r="D397" s="43">
        <f t="shared" si="314"/>
        <v>3.9500000000000006E-9</v>
      </c>
      <c r="E397" s="43">
        <f>C11</f>
        <v>1E-10</v>
      </c>
      <c r="F397" s="43">
        <f>D11</f>
        <v>2.0000000000000001E-10</v>
      </c>
      <c r="G397" s="43">
        <f>E11</f>
        <v>3E-10</v>
      </c>
      <c r="H397" s="43">
        <f>F11</f>
        <v>4.0000000000000001E-10</v>
      </c>
      <c r="J397" s="43">
        <f>H11</f>
        <v>6E-10</v>
      </c>
      <c r="K397" s="43">
        <f>I11</f>
        <v>6.9999999999999996E-10</v>
      </c>
      <c r="L397" s="43">
        <f>J11</f>
        <v>8.0000000000000003E-10</v>
      </c>
      <c r="M397" s="43">
        <f>K11</f>
        <v>8.9999999999999999E-10</v>
      </c>
      <c r="N397" s="43">
        <f>L11</f>
        <v>9.5000000000000003E-10</v>
      </c>
    </row>
    <row r="398" spans="1:14">
      <c r="A398" s="43" t="s">
        <v>1460</v>
      </c>
      <c r="B398" s="162" t="s">
        <v>1461</v>
      </c>
      <c r="C398" s="43" t="s">
        <v>214</v>
      </c>
      <c r="D398" s="43">
        <f t="shared" si="314"/>
        <v>3.9500000000000006E-9</v>
      </c>
      <c r="E398" s="43">
        <f t="shared" ref="E398:M398" si="315">C11</f>
        <v>1E-10</v>
      </c>
      <c r="F398" s="43">
        <f t="shared" si="315"/>
        <v>2.0000000000000001E-10</v>
      </c>
      <c r="G398" s="43">
        <f t="shared" si="315"/>
        <v>3E-10</v>
      </c>
      <c r="H398" s="43">
        <f t="shared" si="315"/>
        <v>4.0000000000000001E-10</v>
      </c>
      <c r="I398" s="43">
        <f t="shared" si="315"/>
        <v>0</v>
      </c>
      <c r="J398" s="43">
        <f t="shared" si="315"/>
        <v>6E-10</v>
      </c>
      <c r="K398" s="43">
        <f t="shared" si="315"/>
        <v>6.9999999999999996E-10</v>
      </c>
      <c r="L398" s="43">
        <f t="shared" si="315"/>
        <v>8.0000000000000003E-10</v>
      </c>
      <c r="M398" s="43">
        <f t="shared" si="315"/>
        <v>8.9999999999999999E-10</v>
      </c>
      <c r="N398" s="43">
        <f>M11</f>
        <v>9.5000000000000003E-10</v>
      </c>
    </row>
    <row r="399" spans="1:14">
      <c r="A399" s="43" t="s">
        <v>1463</v>
      </c>
      <c r="B399" s="162" t="s">
        <v>1464</v>
      </c>
      <c r="C399" s="43" t="s">
        <v>1379</v>
      </c>
      <c r="D399" s="43">
        <f t="shared" ref="D399:D407" si="316">SUM(E399:H399)+LARGE(I399:N399,1)</f>
        <v>1.9500000000000001E-9</v>
      </c>
      <c r="E399" s="43">
        <f t="shared" ref="E399:M399" si="317">C11</f>
        <v>1E-10</v>
      </c>
      <c r="F399" s="43">
        <f t="shared" si="317"/>
        <v>2.0000000000000001E-10</v>
      </c>
      <c r="G399" s="43">
        <f t="shared" si="317"/>
        <v>3E-10</v>
      </c>
      <c r="H399" s="43">
        <f t="shared" si="317"/>
        <v>4.0000000000000001E-10</v>
      </c>
      <c r="I399" s="43">
        <f t="shared" si="317"/>
        <v>0</v>
      </c>
      <c r="J399" s="43">
        <f t="shared" si="317"/>
        <v>6E-10</v>
      </c>
      <c r="K399" s="43">
        <f t="shared" si="317"/>
        <v>6.9999999999999996E-10</v>
      </c>
      <c r="L399" s="43">
        <f t="shared" si="317"/>
        <v>8.0000000000000003E-10</v>
      </c>
      <c r="M399" s="43">
        <f t="shared" si="317"/>
        <v>8.9999999999999999E-10</v>
      </c>
      <c r="N399" s="43">
        <f>M11</f>
        <v>9.5000000000000003E-10</v>
      </c>
    </row>
    <row r="400" spans="1:14">
      <c r="A400" s="43" t="s">
        <v>1466</v>
      </c>
      <c r="B400" s="162" t="s">
        <v>1467</v>
      </c>
      <c r="C400" s="43" t="s">
        <v>1379</v>
      </c>
      <c r="D400" s="43">
        <f t="shared" si="316"/>
        <v>1.9500000000000001E-9</v>
      </c>
      <c r="E400" s="43">
        <f t="shared" ref="E400:M400" si="318">C11</f>
        <v>1E-10</v>
      </c>
      <c r="F400" s="43">
        <f t="shared" si="318"/>
        <v>2.0000000000000001E-10</v>
      </c>
      <c r="G400" s="43">
        <f t="shared" si="318"/>
        <v>3E-10</v>
      </c>
      <c r="H400" s="43">
        <f t="shared" si="318"/>
        <v>4.0000000000000001E-10</v>
      </c>
      <c r="I400" s="43">
        <f t="shared" si="318"/>
        <v>0</v>
      </c>
      <c r="J400" s="43">
        <f t="shared" si="318"/>
        <v>6E-10</v>
      </c>
      <c r="K400" s="43">
        <f t="shared" si="318"/>
        <v>6.9999999999999996E-10</v>
      </c>
      <c r="L400" s="43">
        <f t="shared" si="318"/>
        <v>8.0000000000000003E-10</v>
      </c>
      <c r="M400" s="43">
        <f t="shared" si="318"/>
        <v>8.9999999999999999E-10</v>
      </c>
      <c r="N400" s="43">
        <f>M11</f>
        <v>9.5000000000000003E-10</v>
      </c>
    </row>
    <row r="401" spans="1:14">
      <c r="A401" s="43" t="s">
        <v>1469</v>
      </c>
      <c r="B401" s="162" t="s">
        <v>1470</v>
      </c>
      <c r="C401" s="43" t="s">
        <v>1379</v>
      </c>
      <c r="D401" s="43">
        <f t="shared" si="316"/>
        <v>1.9500000000000001E-9</v>
      </c>
      <c r="E401" s="43">
        <f t="shared" ref="E401:M401" si="319">C11</f>
        <v>1E-10</v>
      </c>
      <c r="F401" s="43">
        <f t="shared" si="319"/>
        <v>2.0000000000000001E-10</v>
      </c>
      <c r="G401" s="43">
        <f t="shared" si="319"/>
        <v>3E-10</v>
      </c>
      <c r="H401" s="43">
        <f t="shared" si="319"/>
        <v>4.0000000000000001E-10</v>
      </c>
      <c r="I401" s="43">
        <f t="shared" si="319"/>
        <v>0</v>
      </c>
      <c r="J401" s="43">
        <f t="shared" si="319"/>
        <v>6E-10</v>
      </c>
      <c r="K401" s="43">
        <f t="shared" si="319"/>
        <v>6.9999999999999996E-10</v>
      </c>
      <c r="L401" s="43">
        <f t="shared" si="319"/>
        <v>8.0000000000000003E-10</v>
      </c>
      <c r="M401" s="43">
        <f t="shared" si="319"/>
        <v>8.9999999999999999E-10</v>
      </c>
      <c r="N401" s="43">
        <f>M11</f>
        <v>9.5000000000000003E-10</v>
      </c>
    </row>
    <row r="402" spans="1:14">
      <c r="A402" s="43" t="s">
        <v>1472</v>
      </c>
      <c r="B402" s="162" t="s">
        <v>1473</v>
      </c>
      <c r="C402" s="43" t="s">
        <v>1379</v>
      </c>
      <c r="D402" s="43">
        <f t="shared" si="316"/>
        <v>1.9500000000000001E-9</v>
      </c>
      <c r="E402" s="43">
        <f t="shared" ref="E402:M402" si="320">C11</f>
        <v>1E-10</v>
      </c>
      <c r="F402" s="43">
        <f t="shared" si="320"/>
        <v>2.0000000000000001E-10</v>
      </c>
      <c r="G402" s="43">
        <f t="shared" si="320"/>
        <v>3E-10</v>
      </c>
      <c r="H402" s="43">
        <f t="shared" si="320"/>
        <v>4.0000000000000001E-10</v>
      </c>
      <c r="I402" s="43">
        <f t="shared" si="320"/>
        <v>0</v>
      </c>
      <c r="J402" s="43">
        <f t="shared" si="320"/>
        <v>6E-10</v>
      </c>
      <c r="K402" s="43">
        <f t="shared" si="320"/>
        <v>6.9999999999999996E-10</v>
      </c>
      <c r="L402" s="43">
        <f t="shared" si="320"/>
        <v>8.0000000000000003E-10</v>
      </c>
      <c r="M402" s="43">
        <f t="shared" si="320"/>
        <v>8.9999999999999999E-10</v>
      </c>
      <c r="N402" s="43">
        <f>M11</f>
        <v>9.5000000000000003E-10</v>
      </c>
    </row>
    <row r="403" spans="1:14">
      <c r="A403" s="43" t="s">
        <v>1475</v>
      </c>
      <c r="B403" s="162" t="s">
        <v>1476</v>
      </c>
      <c r="C403" s="43" t="s">
        <v>1379</v>
      </c>
      <c r="D403" s="43">
        <f t="shared" si="316"/>
        <v>1.9500000000000001E-9</v>
      </c>
      <c r="E403" s="43">
        <f t="shared" ref="E403:M403" si="321">C11</f>
        <v>1E-10</v>
      </c>
      <c r="F403" s="43">
        <f t="shared" si="321"/>
        <v>2.0000000000000001E-10</v>
      </c>
      <c r="G403" s="43">
        <f t="shared" si="321"/>
        <v>3E-10</v>
      </c>
      <c r="H403" s="43">
        <f t="shared" si="321"/>
        <v>4.0000000000000001E-10</v>
      </c>
      <c r="I403" s="43">
        <f t="shared" si="321"/>
        <v>0</v>
      </c>
      <c r="J403" s="43">
        <f t="shared" si="321"/>
        <v>6E-10</v>
      </c>
      <c r="K403" s="43">
        <f t="shared" si="321"/>
        <v>6.9999999999999996E-10</v>
      </c>
      <c r="L403" s="43">
        <f t="shared" si="321"/>
        <v>8.0000000000000003E-10</v>
      </c>
      <c r="M403" s="43">
        <f t="shared" si="321"/>
        <v>8.9999999999999999E-10</v>
      </c>
      <c r="N403" s="43">
        <f>M11</f>
        <v>9.5000000000000003E-10</v>
      </c>
    </row>
    <row r="404" spans="1:14">
      <c r="A404" s="43" t="s">
        <v>1478</v>
      </c>
      <c r="B404" s="162" t="s">
        <v>1479</v>
      </c>
      <c r="C404" s="43" t="s">
        <v>1379</v>
      </c>
      <c r="D404" s="43">
        <f t="shared" si="316"/>
        <v>1.9500000000000001E-9</v>
      </c>
      <c r="E404" s="43">
        <f t="shared" ref="E404:M404" si="322">C11</f>
        <v>1E-10</v>
      </c>
      <c r="F404" s="43">
        <f t="shared" si="322"/>
        <v>2.0000000000000001E-10</v>
      </c>
      <c r="G404" s="43">
        <f t="shared" si="322"/>
        <v>3E-10</v>
      </c>
      <c r="H404" s="43">
        <f t="shared" si="322"/>
        <v>4.0000000000000001E-10</v>
      </c>
      <c r="I404" s="43">
        <f t="shared" si="322"/>
        <v>0</v>
      </c>
      <c r="J404" s="43">
        <f t="shared" si="322"/>
        <v>6E-10</v>
      </c>
      <c r="K404" s="43">
        <f t="shared" si="322"/>
        <v>6.9999999999999996E-10</v>
      </c>
      <c r="L404" s="43">
        <f t="shared" si="322"/>
        <v>8.0000000000000003E-10</v>
      </c>
      <c r="M404" s="43">
        <f t="shared" si="322"/>
        <v>8.9999999999999999E-10</v>
      </c>
      <c r="N404" s="43">
        <f>M11</f>
        <v>9.5000000000000003E-10</v>
      </c>
    </row>
    <row r="405" spans="1:14">
      <c r="A405" s="43" t="s">
        <v>1481</v>
      </c>
      <c r="B405" s="162" t="s">
        <v>1482</v>
      </c>
      <c r="C405" s="43" t="s">
        <v>1379</v>
      </c>
      <c r="D405" s="43">
        <f t="shared" si="316"/>
        <v>1.9500000000000001E-9</v>
      </c>
      <c r="E405" s="43">
        <f>C11</f>
        <v>1E-10</v>
      </c>
      <c r="F405" s="43">
        <f>D11</f>
        <v>2.0000000000000001E-10</v>
      </c>
      <c r="G405" s="43">
        <f>E11</f>
        <v>3E-10</v>
      </c>
      <c r="H405" s="43">
        <f>F11</f>
        <v>4.0000000000000001E-10</v>
      </c>
      <c r="I405" s="43">
        <f>G11</f>
        <v>0</v>
      </c>
      <c r="J405" s="43">
        <f>IF(H1="體育",H11*2,H11)</f>
        <v>6E-10</v>
      </c>
      <c r="K405" s="43">
        <f t="shared" ref="K405:M405" si="323">IF(I1="體育",I11*2,I11)</f>
        <v>6.9999999999999996E-10</v>
      </c>
      <c r="L405" s="43">
        <f t="shared" si="323"/>
        <v>8.0000000000000003E-10</v>
      </c>
      <c r="M405" s="43">
        <f t="shared" si="323"/>
        <v>8.9999999999999999E-10</v>
      </c>
      <c r="N405" s="43">
        <f>M11</f>
        <v>9.5000000000000003E-10</v>
      </c>
    </row>
    <row r="406" spans="1:14">
      <c r="A406" s="43" t="s">
        <v>1484</v>
      </c>
      <c r="B406" s="162" t="s">
        <v>1485</v>
      </c>
      <c r="C406" s="43" t="s">
        <v>1379</v>
      </c>
      <c r="D406" s="43">
        <f t="shared" si="316"/>
        <v>1.9500000000000001E-9</v>
      </c>
      <c r="E406" s="43">
        <f t="shared" ref="E406:M406" si="324">C11</f>
        <v>1E-10</v>
      </c>
      <c r="F406" s="43">
        <f t="shared" si="324"/>
        <v>2.0000000000000001E-10</v>
      </c>
      <c r="G406" s="43">
        <f t="shared" si="324"/>
        <v>3E-10</v>
      </c>
      <c r="H406" s="43">
        <f t="shared" si="324"/>
        <v>4.0000000000000001E-10</v>
      </c>
      <c r="I406" s="43">
        <f t="shared" si="324"/>
        <v>0</v>
      </c>
      <c r="J406" s="43">
        <f t="shared" si="324"/>
        <v>6E-10</v>
      </c>
      <c r="K406" s="43">
        <f t="shared" si="324"/>
        <v>6.9999999999999996E-10</v>
      </c>
      <c r="L406" s="43">
        <f t="shared" si="324"/>
        <v>8.0000000000000003E-10</v>
      </c>
      <c r="M406" s="43">
        <f t="shared" si="324"/>
        <v>8.9999999999999999E-10</v>
      </c>
      <c r="N406" s="43">
        <f>M11</f>
        <v>9.5000000000000003E-10</v>
      </c>
    </row>
    <row r="407" spans="1:14">
      <c r="A407" s="43" t="s">
        <v>1487</v>
      </c>
      <c r="B407" s="162" t="s">
        <v>1488</v>
      </c>
      <c r="C407" s="43" t="s">
        <v>1379</v>
      </c>
      <c r="D407" s="43">
        <f t="shared" si="316"/>
        <v>1.9500000000000001E-9</v>
      </c>
      <c r="E407" s="43">
        <f t="shared" ref="E407:M407" si="325">C11</f>
        <v>1E-10</v>
      </c>
      <c r="F407" s="43">
        <f t="shared" si="325"/>
        <v>2.0000000000000001E-10</v>
      </c>
      <c r="G407" s="43">
        <f t="shared" si="325"/>
        <v>3E-10</v>
      </c>
      <c r="H407" s="43">
        <f t="shared" si="325"/>
        <v>4.0000000000000001E-10</v>
      </c>
      <c r="I407" s="43">
        <f t="shared" si="325"/>
        <v>0</v>
      </c>
      <c r="J407" s="43">
        <f t="shared" si="325"/>
        <v>6E-10</v>
      </c>
      <c r="K407" s="43">
        <f t="shared" si="325"/>
        <v>6.9999999999999996E-10</v>
      </c>
      <c r="L407" s="43">
        <f t="shared" si="325"/>
        <v>8.0000000000000003E-10</v>
      </c>
      <c r="M407" s="43">
        <f t="shared" si="325"/>
        <v>8.9999999999999999E-10</v>
      </c>
      <c r="N407" s="43">
        <f>M11</f>
        <v>9.5000000000000003E-10</v>
      </c>
    </row>
  </sheetData>
  <mergeCells count="1">
    <mergeCell ref="C305:C310"/>
  </mergeCells>
  <phoneticPr fontId="2" type="noConversion"/>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19AD-9B94-4C3C-B394-6E862BFBF27C}">
  <dimension ref="A1:Y68"/>
  <sheetViews>
    <sheetView topLeftCell="A25" zoomScaleNormal="100" workbookViewId="0">
      <selection activeCell="K39" sqref="K39"/>
    </sheetView>
  </sheetViews>
  <sheetFormatPr defaultColWidth="0" defaultRowHeight="0" customHeight="1" zeroHeight="1"/>
  <cols>
    <col min="1" max="1" width="8.625" style="19" customWidth="1"/>
    <col min="2" max="2" width="9.875" style="19" customWidth="1"/>
    <col min="3" max="3" width="17.375" style="19" customWidth="1"/>
    <col min="4" max="4" width="0.75" style="19" hidden="1" customWidth="1"/>
    <col min="5" max="5" width="8.875" style="19" customWidth="1"/>
    <col min="6" max="6" width="7.25" style="19" customWidth="1"/>
    <col min="7" max="7" width="7.75" style="19" customWidth="1"/>
    <col min="8" max="8" width="7.25" style="19" customWidth="1"/>
    <col min="9" max="9" width="7.625" style="19" customWidth="1"/>
    <col min="10" max="10" width="8.75" style="19" customWidth="1"/>
    <col min="11" max="11" width="5" style="142" customWidth="1"/>
    <col min="12" max="12" width="4.625" style="19" hidden="1" customWidth="1"/>
    <col min="13" max="13" width="4" style="19" customWidth="1"/>
    <col min="14" max="14" width="8.875" style="19" customWidth="1"/>
    <col min="15" max="20" width="2.75" style="19" customWidth="1"/>
    <col min="21" max="25" width="8.875" style="19" customWidth="1"/>
    <col min="26" max="16384" width="8.875" style="19" hidden="1"/>
  </cols>
  <sheetData>
    <row r="1" spans="1:20" s="147" customFormat="1" ht="16.5" customHeight="1">
      <c r="A1" s="147" t="s">
        <v>228</v>
      </c>
      <c r="B1" s="147" t="s">
        <v>325</v>
      </c>
      <c r="C1" s="147" t="s">
        <v>400</v>
      </c>
      <c r="E1" s="147" t="s">
        <v>229</v>
      </c>
      <c r="F1" s="148" t="s">
        <v>327</v>
      </c>
      <c r="G1" s="148" t="s">
        <v>328</v>
      </c>
      <c r="H1" s="148" t="s">
        <v>230</v>
      </c>
      <c r="I1" s="310" t="s">
        <v>396</v>
      </c>
      <c r="J1" s="310"/>
      <c r="K1" s="148" t="s">
        <v>394</v>
      </c>
      <c r="L1" s="149" t="s">
        <v>436</v>
      </c>
      <c r="M1" s="147" t="s">
        <v>414</v>
      </c>
      <c r="N1" s="148" t="s">
        <v>415</v>
      </c>
      <c r="O1" s="148" t="s">
        <v>405</v>
      </c>
      <c r="P1" s="148" t="s">
        <v>406</v>
      </c>
      <c r="Q1" s="148" t="s">
        <v>407</v>
      </c>
      <c r="R1" s="148" t="s">
        <v>408</v>
      </c>
      <c r="S1" s="148" t="s">
        <v>409</v>
      </c>
      <c r="T1" s="148" t="s">
        <v>410</v>
      </c>
    </row>
    <row r="2" spans="1:20" ht="18" customHeight="1">
      <c r="A2" s="19" t="s">
        <v>692</v>
      </c>
      <c r="B2" s="19" t="s">
        <v>870</v>
      </c>
      <c r="C2" s="19" t="s">
        <v>693</v>
      </c>
      <c r="D2" s="19" t="s">
        <v>694</v>
      </c>
      <c r="E2" s="19" t="s">
        <v>220</v>
      </c>
      <c r="F2" s="21">
        <v>27</v>
      </c>
      <c r="G2" s="21">
        <v>27</v>
      </c>
      <c r="H2" s="228">
        <f>計分版!D212</f>
        <v>2.8499999999999999E-9</v>
      </c>
      <c r="I2" s="91">
        <f>IF(I$1="差距(Median)",H2-F2,IF(I$1="差距(LQ)",H2-G2))</f>
        <v>-26.999999997149999</v>
      </c>
      <c r="J2" s="92">
        <f>IF(I$1="差距(Median)",(H2-F2)/H2,IF(I$1="差距(LQ)",(H2-G2)/H2))</f>
        <v>-9473684209.5263157</v>
      </c>
      <c r="K2" s="142">
        <v>10</v>
      </c>
      <c r="L2" s="93"/>
      <c r="M2" s="24">
        <f>入學要求!S222</f>
        <v>0</v>
      </c>
      <c r="N2" s="94" t="s">
        <v>416</v>
      </c>
      <c r="O2" s="47">
        <v>3</v>
      </c>
      <c r="P2" s="47">
        <v>3</v>
      </c>
      <c r="Q2" s="47">
        <v>4</v>
      </c>
      <c r="R2" s="47">
        <v>2</v>
      </c>
      <c r="S2" s="47">
        <v>3</v>
      </c>
      <c r="T2" s="47">
        <v>3</v>
      </c>
    </row>
    <row r="3" spans="1:20" s="150" customFormat="1" ht="18" customHeight="1">
      <c r="A3" s="150" t="s">
        <v>695</v>
      </c>
      <c r="B3" s="150" t="s">
        <v>870</v>
      </c>
      <c r="C3" s="150" t="s">
        <v>696</v>
      </c>
      <c r="D3" s="150" t="s">
        <v>697</v>
      </c>
      <c r="E3" s="150" t="s">
        <v>220</v>
      </c>
      <c r="F3" s="151">
        <v>28</v>
      </c>
      <c r="G3" s="151">
        <v>27</v>
      </c>
      <c r="H3" s="232">
        <f>計分版!D213</f>
        <v>2.8499999999999999E-9</v>
      </c>
      <c r="I3" s="153">
        <f t="shared" ref="I3:I45" si="0">IF(I$1="差距(Median)",H3-F3,IF(I$1="差距(LQ)",H3-G3))</f>
        <v>-27.999999997149999</v>
      </c>
      <c r="J3" s="154">
        <f t="shared" ref="J3:J45" si="1">IF(I$1="差距(Median)",(H3-F3)/H3,IF(I$1="差距(LQ)",(H3-G3)/H3))</f>
        <v>-9824561402.5087719</v>
      </c>
      <c r="K3" s="152">
        <v>10</v>
      </c>
      <c r="L3" s="155"/>
      <c r="M3" s="156">
        <f>入學要求!S223</f>
        <v>0</v>
      </c>
      <c r="N3" s="157" t="s">
        <v>416</v>
      </c>
      <c r="O3" s="157">
        <v>3</v>
      </c>
      <c r="P3" s="157">
        <v>3</v>
      </c>
      <c r="Q3" s="157">
        <v>3</v>
      </c>
      <c r="R3" s="157">
        <v>2</v>
      </c>
      <c r="S3" s="157">
        <v>3</v>
      </c>
      <c r="T3" s="157">
        <v>3</v>
      </c>
    </row>
    <row r="4" spans="1:20" ht="18" customHeight="1">
      <c r="A4" s="19" t="s">
        <v>698</v>
      </c>
      <c r="B4" s="19" t="s">
        <v>870</v>
      </c>
      <c r="C4" s="19" t="s">
        <v>699</v>
      </c>
      <c r="D4" s="19" t="s">
        <v>700</v>
      </c>
      <c r="E4" s="19" t="s">
        <v>215</v>
      </c>
      <c r="F4" s="21">
        <v>25</v>
      </c>
      <c r="G4" s="21">
        <v>25</v>
      </c>
      <c r="H4" s="228">
        <f>計分版!D214</f>
        <v>2.8499999999999999E-9</v>
      </c>
      <c r="I4" s="91">
        <f t="shared" si="0"/>
        <v>-24.999999997149999</v>
      </c>
      <c r="J4" s="92">
        <f t="shared" si="1"/>
        <v>-8771929823.5614033</v>
      </c>
      <c r="K4" s="142">
        <v>141</v>
      </c>
      <c r="L4" s="93"/>
      <c r="M4" s="24">
        <f>入學要求!S224</f>
        <v>0</v>
      </c>
      <c r="N4" s="94" t="s">
        <v>416</v>
      </c>
      <c r="O4" s="47">
        <v>3</v>
      </c>
      <c r="P4" s="47">
        <v>3</v>
      </c>
      <c r="Q4" s="47">
        <v>3</v>
      </c>
      <c r="R4" s="47">
        <v>2</v>
      </c>
      <c r="S4" s="47">
        <v>3</v>
      </c>
      <c r="T4" s="47">
        <v>3</v>
      </c>
    </row>
    <row r="5" spans="1:20" s="150" customFormat="1" ht="18" customHeight="1">
      <c r="A5" s="150" t="s">
        <v>701</v>
      </c>
      <c r="B5" s="150" t="s">
        <v>870</v>
      </c>
      <c r="C5" s="150" t="s">
        <v>702</v>
      </c>
      <c r="D5" s="150" t="s">
        <v>703</v>
      </c>
      <c r="E5" s="150" t="s">
        <v>215</v>
      </c>
      <c r="F5" s="151">
        <v>25</v>
      </c>
      <c r="G5" s="151">
        <v>25</v>
      </c>
      <c r="H5" s="232">
        <f>計分版!D215</f>
        <v>2.8499999999999999E-9</v>
      </c>
      <c r="I5" s="153">
        <f t="shared" si="0"/>
        <v>-24.999999997149999</v>
      </c>
      <c r="J5" s="154">
        <f t="shared" si="1"/>
        <v>-8771929823.5614033</v>
      </c>
      <c r="K5" s="152">
        <v>71</v>
      </c>
      <c r="L5" s="155"/>
      <c r="M5" s="156">
        <f>入學要求!S225</f>
        <v>0</v>
      </c>
      <c r="N5" s="158" t="s">
        <v>416</v>
      </c>
      <c r="O5" s="157">
        <v>3</v>
      </c>
      <c r="P5" s="157">
        <v>3</v>
      </c>
      <c r="Q5" s="157">
        <v>3</v>
      </c>
      <c r="R5" s="157">
        <v>2</v>
      </c>
      <c r="S5" s="157">
        <v>3</v>
      </c>
      <c r="T5" s="157">
        <v>3</v>
      </c>
    </row>
    <row r="6" spans="1:20" ht="18" customHeight="1">
      <c r="A6" s="19" t="s">
        <v>704</v>
      </c>
      <c r="B6" s="19" t="s">
        <v>870</v>
      </c>
      <c r="C6" s="19" t="s">
        <v>705</v>
      </c>
      <c r="D6" s="19" t="s">
        <v>706</v>
      </c>
      <c r="E6" s="19" t="s">
        <v>215</v>
      </c>
      <c r="F6" s="21">
        <v>27.5</v>
      </c>
      <c r="G6" s="21">
        <v>27</v>
      </c>
      <c r="H6" s="228">
        <f>計分版!D216</f>
        <v>2.9499999999999999E-9</v>
      </c>
      <c r="I6" s="91">
        <f t="shared" si="0"/>
        <v>-27.499999997050001</v>
      </c>
      <c r="J6" s="92">
        <f t="shared" si="1"/>
        <v>-9322033897.3050842</v>
      </c>
      <c r="K6" s="142">
        <v>83</v>
      </c>
      <c r="L6" s="93"/>
      <c r="M6" s="24">
        <f>入學要求!S226</f>
        <v>0</v>
      </c>
      <c r="N6" s="94" t="s">
        <v>416</v>
      </c>
      <c r="O6" s="47">
        <v>3</v>
      </c>
      <c r="P6" s="47">
        <v>3</v>
      </c>
      <c r="Q6" s="47">
        <v>3</v>
      </c>
      <c r="R6" s="47">
        <v>2</v>
      </c>
      <c r="S6" s="47">
        <v>3</v>
      </c>
      <c r="T6" s="47">
        <v>3</v>
      </c>
    </row>
    <row r="7" spans="1:20" s="150" customFormat="1" ht="18" customHeight="1">
      <c r="A7" s="150" t="s">
        <v>707</v>
      </c>
      <c r="B7" s="150" t="s">
        <v>870</v>
      </c>
      <c r="C7" s="150" t="s">
        <v>708</v>
      </c>
      <c r="D7" s="150" t="s">
        <v>709</v>
      </c>
      <c r="E7" s="150" t="s">
        <v>215</v>
      </c>
      <c r="F7" s="151">
        <v>24</v>
      </c>
      <c r="G7" s="151">
        <v>24</v>
      </c>
      <c r="H7" s="232">
        <f>計分版!D217</f>
        <v>2.8499999999999999E-9</v>
      </c>
      <c r="I7" s="153">
        <f t="shared" si="0"/>
        <v>-23.999999997149999</v>
      </c>
      <c r="J7" s="154">
        <f t="shared" si="1"/>
        <v>-8421052630.5789471</v>
      </c>
      <c r="K7" s="152">
        <v>83</v>
      </c>
      <c r="L7" s="155"/>
      <c r="M7" s="156">
        <f>入學要求!S227</f>
        <v>0</v>
      </c>
      <c r="N7" s="157" t="s">
        <v>416</v>
      </c>
      <c r="O7" s="157">
        <v>3</v>
      </c>
      <c r="P7" s="157">
        <v>3</v>
      </c>
      <c r="Q7" s="157">
        <v>3</v>
      </c>
      <c r="R7" s="157">
        <v>2</v>
      </c>
      <c r="S7" s="157">
        <v>3</v>
      </c>
      <c r="T7" s="157">
        <v>3</v>
      </c>
    </row>
    <row r="8" spans="1:20" ht="18" customHeight="1">
      <c r="A8" s="19" t="s">
        <v>710</v>
      </c>
      <c r="B8" s="19" t="s">
        <v>870</v>
      </c>
      <c r="C8" s="19" t="s">
        <v>711</v>
      </c>
      <c r="D8" s="19" t="s">
        <v>712</v>
      </c>
      <c r="E8" s="19" t="s">
        <v>215</v>
      </c>
      <c r="F8" s="21" t="s">
        <v>393</v>
      </c>
      <c r="G8" s="21" t="s">
        <v>393</v>
      </c>
      <c r="H8" s="228" t="str">
        <f>計分版!D218</f>
        <v>/</v>
      </c>
      <c r="I8" s="22" t="s">
        <v>393</v>
      </c>
      <c r="J8" s="22" t="s">
        <v>393</v>
      </c>
      <c r="K8" s="142">
        <v>22</v>
      </c>
      <c r="L8" s="93"/>
      <c r="M8" s="24">
        <f>入學要求!S228</f>
        <v>0</v>
      </c>
      <c r="N8" s="47" t="s">
        <v>416</v>
      </c>
      <c r="O8" s="47">
        <v>3</v>
      </c>
      <c r="P8" s="47">
        <v>3</v>
      </c>
      <c r="Q8" s="47">
        <v>3</v>
      </c>
      <c r="R8" s="47">
        <v>2</v>
      </c>
      <c r="S8" s="47">
        <v>3</v>
      </c>
      <c r="T8" s="47">
        <v>3</v>
      </c>
    </row>
    <row r="9" spans="1:20" s="150" customFormat="1" ht="18" customHeight="1">
      <c r="A9" s="150" t="s">
        <v>713</v>
      </c>
      <c r="B9" s="150" t="s">
        <v>870</v>
      </c>
      <c r="C9" s="150" t="s">
        <v>714</v>
      </c>
      <c r="D9" s="150" t="s">
        <v>715</v>
      </c>
      <c r="E9" s="150" t="s">
        <v>215</v>
      </c>
      <c r="F9" s="151" t="s">
        <v>393</v>
      </c>
      <c r="G9" s="151" t="s">
        <v>393</v>
      </c>
      <c r="H9" s="232" t="str">
        <f>計分版!D219</f>
        <v>/</v>
      </c>
      <c r="I9" s="159" t="s">
        <v>393</v>
      </c>
      <c r="J9" s="159" t="s">
        <v>393</v>
      </c>
      <c r="K9" s="152">
        <v>59</v>
      </c>
      <c r="L9" s="155"/>
      <c r="M9" s="156">
        <f>入學要求!S229</f>
        <v>0</v>
      </c>
      <c r="N9" s="157" t="s">
        <v>416</v>
      </c>
      <c r="O9" s="157">
        <v>3</v>
      </c>
      <c r="P9" s="157">
        <v>3</v>
      </c>
      <c r="Q9" s="157">
        <v>3</v>
      </c>
      <c r="R9" s="157">
        <v>2</v>
      </c>
      <c r="S9" s="157">
        <v>3</v>
      </c>
      <c r="T9" s="157">
        <v>3</v>
      </c>
    </row>
    <row r="10" spans="1:20" ht="18" customHeight="1">
      <c r="A10" s="19" t="s">
        <v>716</v>
      </c>
      <c r="B10" s="19" t="s">
        <v>870</v>
      </c>
      <c r="C10" s="19" t="s">
        <v>717</v>
      </c>
      <c r="D10" s="19" t="s">
        <v>718</v>
      </c>
      <c r="E10" s="19" t="s">
        <v>215</v>
      </c>
      <c r="F10" s="21">
        <v>25</v>
      </c>
      <c r="G10" s="21">
        <v>24</v>
      </c>
      <c r="H10" s="228">
        <f>計分版!D220</f>
        <v>2.8499999999999999E-9</v>
      </c>
      <c r="I10" s="91">
        <f t="shared" si="0"/>
        <v>-24.999999997149999</v>
      </c>
      <c r="J10" s="92">
        <f t="shared" si="1"/>
        <v>-8771929823.5614033</v>
      </c>
      <c r="K10" s="142">
        <v>41</v>
      </c>
      <c r="L10" s="93"/>
      <c r="M10" s="24">
        <f>入學要求!S230</f>
        <v>0</v>
      </c>
      <c r="N10" s="47" t="s">
        <v>416</v>
      </c>
      <c r="O10" s="47">
        <v>3</v>
      </c>
      <c r="P10" s="47">
        <v>3</v>
      </c>
      <c r="Q10" s="47">
        <v>3</v>
      </c>
      <c r="R10" s="47">
        <v>2</v>
      </c>
      <c r="S10" s="47">
        <v>3</v>
      </c>
      <c r="T10" s="47">
        <v>3</v>
      </c>
    </row>
    <row r="11" spans="1:20" s="150" customFormat="1" ht="18" customHeight="1">
      <c r="A11" s="150" t="s">
        <v>719</v>
      </c>
      <c r="B11" s="150" t="s">
        <v>870</v>
      </c>
      <c r="C11" s="150" t="s">
        <v>720</v>
      </c>
      <c r="D11" s="150" t="s">
        <v>721</v>
      </c>
      <c r="E11" s="150" t="s">
        <v>215</v>
      </c>
      <c r="F11" s="151" t="s">
        <v>393</v>
      </c>
      <c r="G11" s="151" t="s">
        <v>393</v>
      </c>
      <c r="H11" s="232" t="str">
        <f>計分版!D221</f>
        <v>/</v>
      </c>
      <c r="I11" s="159" t="s">
        <v>393</v>
      </c>
      <c r="J11" s="159" t="s">
        <v>393</v>
      </c>
      <c r="K11" s="152">
        <v>15</v>
      </c>
      <c r="L11" s="155"/>
      <c r="M11" s="156">
        <f>入學要求!S231</f>
        <v>0</v>
      </c>
      <c r="N11" s="157" t="s">
        <v>416</v>
      </c>
      <c r="O11" s="157">
        <v>3</v>
      </c>
      <c r="P11" s="157">
        <v>3</v>
      </c>
      <c r="Q11" s="157">
        <v>3</v>
      </c>
      <c r="R11" s="157">
        <v>2</v>
      </c>
      <c r="S11" s="157">
        <v>3</v>
      </c>
      <c r="T11" s="157">
        <v>3</v>
      </c>
    </row>
    <row r="12" spans="1:20" ht="18" customHeight="1">
      <c r="A12" s="19" t="s">
        <v>722</v>
      </c>
      <c r="B12" s="19" t="s">
        <v>870</v>
      </c>
      <c r="C12" s="19" t="s">
        <v>723</v>
      </c>
      <c r="D12" s="19" t="s">
        <v>724</v>
      </c>
      <c r="E12" s="19" t="s">
        <v>215</v>
      </c>
      <c r="F12" s="21" t="s">
        <v>393</v>
      </c>
      <c r="G12" s="21" t="s">
        <v>393</v>
      </c>
      <c r="H12" s="228" t="str">
        <f>計分版!D222</f>
        <v>/</v>
      </c>
      <c r="I12" s="22" t="s">
        <v>393</v>
      </c>
      <c r="J12" s="22" t="s">
        <v>393</v>
      </c>
      <c r="K12" s="142">
        <v>33</v>
      </c>
      <c r="L12" s="93"/>
      <c r="M12" s="24">
        <f>入學要求!S232</f>
        <v>0</v>
      </c>
      <c r="N12" s="47" t="s">
        <v>416</v>
      </c>
      <c r="O12" s="47">
        <v>3</v>
      </c>
      <c r="P12" s="47">
        <v>3</v>
      </c>
      <c r="Q12" s="47">
        <v>3</v>
      </c>
      <c r="R12" s="47">
        <v>2</v>
      </c>
      <c r="S12" s="47">
        <v>3</v>
      </c>
      <c r="T12" s="47">
        <v>3</v>
      </c>
    </row>
    <row r="13" spans="1:20" s="150" customFormat="1" ht="18" customHeight="1">
      <c r="A13" s="150" t="s">
        <v>725</v>
      </c>
      <c r="B13" s="150" t="s">
        <v>870</v>
      </c>
      <c r="C13" s="150" t="s">
        <v>726</v>
      </c>
      <c r="D13" s="150" t="s">
        <v>727</v>
      </c>
      <c r="E13" s="150" t="s">
        <v>215</v>
      </c>
      <c r="F13" s="151">
        <v>24</v>
      </c>
      <c r="G13" s="151">
        <v>24</v>
      </c>
      <c r="H13" s="232">
        <f>計分版!D223</f>
        <v>2.8499999999999999E-9</v>
      </c>
      <c r="I13" s="153">
        <f t="shared" si="0"/>
        <v>-23.999999997149999</v>
      </c>
      <c r="J13" s="154">
        <f t="shared" si="1"/>
        <v>-8421052630.5789471</v>
      </c>
      <c r="K13" s="152">
        <v>36</v>
      </c>
      <c r="L13" s="155"/>
      <c r="M13" s="156">
        <f>入學要求!S233</f>
        <v>0</v>
      </c>
      <c r="N13" s="157" t="s">
        <v>416</v>
      </c>
      <c r="O13" s="157">
        <v>3</v>
      </c>
      <c r="P13" s="157">
        <v>3</v>
      </c>
      <c r="Q13" s="157">
        <v>3</v>
      </c>
      <c r="R13" s="157">
        <v>2</v>
      </c>
      <c r="S13" s="157">
        <v>3</v>
      </c>
      <c r="T13" s="157">
        <v>3</v>
      </c>
    </row>
    <row r="14" spans="1:20" ht="18" customHeight="1">
      <c r="A14" s="19" t="s">
        <v>728</v>
      </c>
      <c r="B14" s="19" t="s">
        <v>870</v>
      </c>
      <c r="C14" s="19" t="s">
        <v>729</v>
      </c>
      <c r="D14" s="19" t="s">
        <v>730</v>
      </c>
      <c r="E14" s="19" t="s">
        <v>215</v>
      </c>
      <c r="F14" s="21" t="s">
        <v>393</v>
      </c>
      <c r="G14" s="21" t="s">
        <v>393</v>
      </c>
      <c r="H14" s="228" t="str">
        <f>計分版!D224</f>
        <v>/</v>
      </c>
      <c r="I14" s="22" t="s">
        <v>393</v>
      </c>
      <c r="J14" s="22" t="s">
        <v>393</v>
      </c>
      <c r="K14" s="142">
        <v>21</v>
      </c>
      <c r="L14" s="93"/>
      <c r="M14" s="24">
        <f>入學要求!S234</f>
        <v>0</v>
      </c>
      <c r="N14" s="47" t="s">
        <v>416</v>
      </c>
      <c r="O14" s="47">
        <v>3</v>
      </c>
      <c r="P14" s="47">
        <v>3</v>
      </c>
      <c r="Q14" s="47">
        <v>3</v>
      </c>
      <c r="R14" s="47">
        <v>2</v>
      </c>
      <c r="S14" s="47">
        <v>3</v>
      </c>
      <c r="T14" s="47">
        <v>3</v>
      </c>
    </row>
    <row r="15" spans="1:20" s="150" customFormat="1" ht="18" customHeight="1">
      <c r="A15" s="150" t="s">
        <v>731</v>
      </c>
      <c r="B15" s="150" t="s">
        <v>870</v>
      </c>
      <c r="C15" s="150" t="s">
        <v>732</v>
      </c>
      <c r="D15" s="150" t="s">
        <v>733</v>
      </c>
      <c r="E15" s="150" t="s">
        <v>215</v>
      </c>
      <c r="F15" s="151" t="s">
        <v>393</v>
      </c>
      <c r="G15" s="151" t="s">
        <v>393</v>
      </c>
      <c r="H15" s="232" t="str">
        <f>計分版!D225</f>
        <v>/</v>
      </c>
      <c r="I15" s="159" t="s">
        <v>393</v>
      </c>
      <c r="J15" s="159" t="s">
        <v>393</v>
      </c>
      <c r="K15" s="152">
        <v>21</v>
      </c>
      <c r="L15" s="155"/>
      <c r="M15" s="156">
        <f>入學要求!S235</f>
        <v>0</v>
      </c>
      <c r="N15" s="157" t="s">
        <v>416</v>
      </c>
      <c r="O15" s="157">
        <v>3</v>
      </c>
      <c r="P15" s="157">
        <v>3</v>
      </c>
      <c r="Q15" s="157">
        <v>3</v>
      </c>
      <c r="R15" s="157">
        <v>2</v>
      </c>
      <c r="S15" s="157">
        <v>3</v>
      </c>
      <c r="T15" s="157">
        <v>3</v>
      </c>
    </row>
    <row r="16" spans="1:20" ht="18" customHeight="1">
      <c r="A16" s="19" t="s">
        <v>734</v>
      </c>
      <c r="B16" s="19" t="s">
        <v>1535</v>
      </c>
      <c r="C16" s="19" t="s">
        <v>992</v>
      </c>
      <c r="D16" s="19" t="s">
        <v>736</v>
      </c>
      <c r="E16" s="19" t="s">
        <v>215</v>
      </c>
      <c r="F16" s="21">
        <v>30</v>
      </c>
      <c r="G16" s="21">
        <v>28</v>
      </c>
      <c r="H16" s="228">
        <f>計分版!D226</f>
        <v>3.05E-9</v>
      </c>
      <c r="I16" s="91">
        <f t="shared" si="0"/>
        <v>-29.999999996949999</v>
      </c>
      <c r="J16" s="92">
        <f t="shared" si="1"/>
        <v>-9836065572.7704906</v>
      </c>
      <c r="K16" s="142">
        <v>29</v>
      </c>
      <c r="L16" s="93"/>
      <c r="M16" s="24">
        <f>入學要求!S236</f>
        <v>0</v>
      </c>
      <c r="N16" s="47" t="s">
        <v>416</v>
      </c>
      <c r="O16" s="47">
        <v>3</v>
      </c>
      <c r="P16" s="47">
        <v>3</v>
      </c>
      <c r="Q16" s="47">
        <v>2</v>
      </c>
      <c r="R16" s="47">
        <v>2</v>
      </c>
      <c r="S16" s="47">
        <v>3</v>
      </c>
      <c r="T16" s="47">
        <v>3</v>
      </c>
    </row>
    <row r="17" spans="1:20" s="150" customFormat="1" ht="18" customHeight="1">
      <c r="A17" s="150" t="s">
        <v>737</v>
      </c>
      <c r="B17" s="150" t="s">
        <v>993</v>
      </c>
      <c r="C17" s="150" t="s">
        <v>738</v>
      </c>
      <c r="D17" s="150" t="s">
        <v>739</v>
      </c>
      <c r="E17" s="150" t="s">
        <v>215</v>
      </c>
      <c r="F17" s="151">
        <v>31</v>
      </c>
      <c r="G17" s="151">
        <v>31</v>
      </c>
      <c r="H17" s="232">
        <f>計分版!D227</f>
        <v>3.05E-9</v>
      </c>
      <c r="I17" s="153">
        <f t="shared" si="0"/>
        <v>-30.999999996949999</v>
      </c>
      <c r="J17" s="154">
        <f t="shared" si="1"/>
        <v>-10163934425.229507</v>
      </c>
      <c r="K17" s="152">
        <v>23</v>
      </c>
      <c r="L17" s="155"/>
      <c r="M17" s="156">
        <f>入學要求!S237</f>
        <v>0</v>
      </c>
      <c r="N17" s="157" t="s">
        <v>416</v>
      </c>
      <c r="O17" s="157">
        <v>3</v>
      </c>
      <c r="P17" s="157">
        <v>3</v>
      </c>
      <c r="Q17" s="157">
        <v>2</v>
      </c>
      <c r="R17" s="157">
        <v>2</v>
      </c>
      <c r="S17" s="157">
        <v>3</v>
      </c>
      <c r="T17" s="157">
        <v>3</v>
      </c>
    </row>
    <row r="18" spans="1:20" ht="18" customHeight="1">
      <c r="A18" s="19" t="s">
        <v>740</v>
      </c>
      <c r="B18" s="19" t="s">
        <v>993</v>
      </c>
      <c r="C18" s="19" t="s">
        <v>741</v>
      </c>
      <c r="D18" s="19" t="s">
        <v>742</v>
      </c>
      <c r="E18" s="19" t="s">
        <v>215</v>
      </c>
      <c r="F18" s="21">
        <v>29</v>
      </c>
      <c r="G18" s="21">
        <v>29</v>
      </c>
      <c r="H18" s="228">
        <f>計分版!D228</f>
        <v>3.1999999999999997E-9</v>
      </c>
      <c r="I18" s="91">
        <f t="shared" si="0"/>
        <v>-28.9999999968</v>
      </c>
      <c r="J18" s="92">
        <f t="shared" si="1"/>
        <v>-9062499999</v>
      </c>
      <c r="K18" s="142">
        <v>28</v>
      </c>
      <c r="L18" s="93"/>
      <c r="M18" s="24">
        <f>入學要求!S238</f>
        <v>0</v>
      </c>
      <c r="N18" s="47" t="s">
        <v>416</v>
      </c>
      <c r="O18" s="47">
        <v>3</v>
      </c>
      <c r="P18" s="47">
        <v>3</v>
      </c>
      <c r="Q18" s="47">
        <v>2</v>
      </c>
      <c r="R18" s="47">
        <v>2</v>
      </c>
      <c r="S18" s="47">
        <v>3</v>
      </c>
      <c r="T18" s="47">
        <v>3</v>
      </c>
    </row>
    <row r="19" spans="1:20" s="150" customFormat="1" ht="18" customHeight="1">
      <c r="A19" s="150" t="s">
        <v>743</v>
      </c>
      <c r="B19" s="150" t="s">
        <v>993</v>
      </c>
      <c r="C19" s="150" t="s">
        <v>1536</v>
      </c>
      <c r="D19" s="150" t="s">
        <v>745</v>
      </c>
      <c r="E19" s="150" t="s">
        <v>215</v>
      </c>
      <c r="F19" s="151">
        <v>27</v>
      </c>
      <c r="G19" s="151">
        <v>27</v>
      </c>
      <c r="H19" s="232">
        <f>計分版!D229</f>
        <v>3.05E-9</v>
      </c>
      <c r="I19" s="153">
        <f t="shared" si="0"/>
        <v>-26.999999996949999</v>
      </c>
      <c r="J19" s="154">
        <f t="shared" si="1"/>
        <v>-8852459015.3934422</v>
      </c>
      <c r="K19" s="152">
        <v>21</v>
      </c>
      <c r="L19" s="155"/>
      <c r="M19" s="156">
        <f>入學要求!S239</f>
        <v>0</v>
      </c>
      <c r="N19" s="157" t="s">
        <v>416</v>
      </c>
      <c r="O19" s="157">
        <v>3</v>
      </c>
      <c r="P19" s="157">
        <v>3</v>
      </c>
      <c r="Q19" s="157">
        <v>2</v>
      </c>
      <c r="R19" s="157">
        <v>2</v>
      </c>
      <c r="S19" s="157">
        <v>3</v>
      </c>
      <c r="T19" s="157">
        <v>3</v>
      </c>
    </row>
    <row r="20" spans="1:20" ht="18" customHeight="1">
      <c r="A20" s="19" t="s">
        <v>746</v>
      </c>
      <c r="B20" s="19" t="s">
        <v>995</v>
      </c>
      <c r="C20" s="19" t="s">
        <v>994</v>
      </c>
      <c r="D20" s="19" t="s">
        <v>748</v>
      </c>
      <c r="E20" s="19" t="s">
        <v>215</v>
      </c>
      <c r="F20" s="21">
        <v>38</v>
      </c>
      <c r="G20" s="21">
        <v>37.5</v>
      </c>
      <c r="H20" s="228">
        <f>計分版!D230</f>
        <v>2.6000000000000001E-9</v>
      </c>
      <c r="I20" s="91">
        <f t="shared" si="0"/>
        <v>-37.999999997400003</v>
      </c>
      <c r="J20" s="92">
        <f t="shared" si="1"/>
        <v>-14615384614.384617</v>
      </c>
      <c r="K20" s="142">
        <v>72</v>
      </c>
      <c r="L20" s="93"/>
      <c r="M20" s="24">
        <f>入學要求!S240</f>
        <v>0</v>
      </c>
      <c r="N20" s="47" t="s">
        <v>416</v>
      </c>
      <c r="O20" s="47">
        <v>3</v>
      </c>
      <c r="P20" s="47">
        <v>3</v>
      </c>
      <c r="Q20" s="47">
        <v>2</v>
      </c>
      <c r="R20" s="47">
        <v>2</v>
      </c>
      <c r="S20" s="47">
        <v>3</v>
      </c>
      <c r="T20" s="47">
        <v>3</v>
      </c>
    </row>
    <row r="21" spans="1:20" s="150" customFormat="1" ht="18" customHeight="1">
      <c r="A21" s="150" t="s">
        <v>749</v>
      </c>
      <c r="B21" s="150" t="s">
        <v>421</v>
      </c>
      <c r="C21" s="150" t="s">
        <v>750</v>
      </c>
      <c r="D21" s="150" t="s">
        <v>329</v>
      </c>
      <c r="E21" s="150" t="s">
        <v>215</v>
      </c>
      <c r="F21" s="151">
        <v>29</v>
      </c>
      <c r="G21" s="151">
        <v>28</v>
      </c>
      <c r="H21" s="232">
        <f>計分版!D231</f>
        <v>2.8499999999999999E-9</v>
      </c>
      <c r="I21" s="153">
        <f t="shared" si="0"/>
        <v>-28.999999997149999</v>
      </c>
      <c r="J21" s="154">
        <f t="shared" si="1"/>
        <v>-10175438595.491228</v>
      </c>
      <c r="K21" s="152">
        <v>60</v>
      </c>
      <c r="L21" s="155"/>
      <c r="M21" s="156">
        <f>入學要求!S241</f>
        <v>0</v>
      </c>
      <c r="N21" s="157" t="s">
        <v>416</v>
      </c>
      <c r="O21" s="157">
        <v>3</v>
      </c>
      <c r="P21" s="157">
        <v>5</v>
      </c>
      <c r="Q21" s="157">
        <v>2</v>
      </c>
      <c r="R21" s="157">
        <v>2</v>
      </c>
      <c r="S21" s="157">
        <v>3</v>
      </c>
      <c r="T21" s="157">
        <v>3</v>
      </c>
    </row>
    <row r="22" spans="1:20" ht="18" customHeight="1">
      <c r="A22" s="19" t="s">
        <v>751</v>
      </c>
      <c r="B22" s="19" t="s">
        <v>997</v>
      </c>
      <c r="C22" s="19" t="s">
        <v>996</v>
      </c>
      <c r="D22" s="19" t="s">
        <v>753</v>
      </c>
      <c r="E22" s="19" t="s">
        <v>215</v>
      </c>
      <c r="F22" s="21">
        <v>31</v>
      </c>
      <c r="G22" s="21">
        <v>30</v>
      </c>
      <c r="H22" s="228">
        <f>計分版!D232</f>
        <v>3.3500000000000002E-9</v>
      </c>
      <c r="I22" s="91">
        <f t="shared" si="0"/>
        <v>-30.999999996650001</v>
      </c>
      <c r="J22" s="92">
        <f t="shared" si="1"/>
        <v>-9253731342.2835808</v>
      </c>
      <c r="K22" s="142">
        <v>20</v>
      </c>
      <c r="L22" s="93"/>
      <c r="M22" s="24">
        <f>入學要求!S242</f>
        <v>0</v>
      </c>
      <c r="N22" s="47" t="s">
        <v>416</v>
      </c>
      <c r="O22" s="47">
        <v>3</v>
      </c>
      <c r="P22" s="47">
        <v>3</v>
      </c>
      <c r="Q22" s="47">
        <v>3</v>
      </c>
      <c r="R22" s="47">
        <v>2</v>
      </c>
      <c r="S22" s="47">
        <v>3</v>
      </c>
      <c r="T22" s="47">
        <v>3</v>
      </c>
    </row>
    <row r="23" spans="1:20" s="150" customFormat="1" ht="18" customHeight="1">
      <c r="A23" s="150" t="s">
        <v>754</v>
      </c>
      <c r="B23" s="150" t="s">
        <v>997</v>
      </c>
      <c r="C23" s="150" t="s">
        <v>1000</v>
      </c>
      <c r="D23" s="150" t="s">
        <v>756</v>
      </c>
      <c r="E23" s="150" t="s">
        <v>215</v>
      </c>
      <c r="F23" s="157">
        <v>31</v>
      </c>
      <c r="G23" s="160">
        <v>30</v>
      </c>
      <c r="H23" s="232">
        <f>計分版!D233</f>
        <v>3.3500000000000002E-9</v>
      </c>
      <c r="I23" s="153">
        <f t="shared" si="0"/>
        <v>-30.999999996650001</v>
      </c>
      <c r="J23" s="154">
        <f t="shared" si="1"/>
        <v>-9253731342.2835808</v>
      </c>
      <c r="K23" s="152">
        <v>30</v>
      </c>
      <c r="L23" s="155"/>
      <c r="M23" s="156">
        <f>入學要求!S243</f>
        <v>0</v>
      </c>
      <c r="N23" s="157" t="s">
        <v>416</v>
      </c>
      <c r="O23" s="157">
        <v>3</v>
      </c>
      <c r="P23" s="157">
        <v>3</v>
      </c>
      <c r="Q23" s="157">
        <v>3</v>
      </c>
      <c r="R23" s="157">
        <v>2</v>
      </c>
      <c r="S23" s="157">
        <v>3</v>
      </c>
      <c r="T23" s="157">
        <v>3</v>
      </c>
    </row>
    <row r="24" spans="1:20" ht="18" customHeight="1">
      <c r="A24" s="19" t="s">
        <v>757</v>
      </c>
      <c r="B24" s="19" t="s">
        <v>997</v>
      </c>
      <c r="C24" s="19" t="s">
        <v>758</v>
      </c>
      <c r="D24" s="19" t="s">
        <v>759</v>
      </c>
      <c r="E24" s="19" t="s">
        <v>215</v>
      </c>
      <c r="F24" s="21">
        <v>30</v>
      </c>
      <c r="G24" s="21">
        <v>29</v>
      </c>
      <c r="H24" s="228">
        <f>計分版!D234</f>
        <v>3.3500000000000002E-9</v>
      </c>
      <c r="I24" s="91">
        <f t="shared" si="0"/>
        <v>-29.999999996650001</v>
      </c>
      <c r="J24" s="92">
        <f t="shared" si="1"/>
        <v>-8955223879.5970154</v>
      </c>
      <c r="K24" s="142">
        <v>20</v>
      </c>
      <c r="L24" s="93"/>
      <c r="M24" s="24">
        <f>入學要求!S244</f>
        <v>0</v>
      </c>
      <c r="N24" s="47" t="s">
        <v>416</v>
      </c>
      <c r="O24" s="47">
        <v>3</v>
      </c>
      <c r="P24" s="47">
        <v>3</v>
      </c>
      <c r="Q24" s="47">
        <v>3</v>
      </c>
      <c r="R24" s="47">
        <v>2</v>
      </c>
      <c r="S24" s="47">
        <v>3</v>
      </c>
      <c r="T24" s="47">
        <v>3</v>
      </c>
    </row>
    <row r="25" spans="1:20" s="150" customFormat="1" ht="18" customHeight="1">
      <c r="A25" s="150" t="s">
        <v>760</v>
      </c>
      <c r="B25" s="150" t="s">
        <v>869</v>
      </c>
      <c r="C25" s="150" t="s">
        <v>998</v>
      </c>
      <c r="D25" s="150" t="s">
        <v>762</v>
      </c>
      <c r="E25" s="150" t="s">
        <v>844</v>
      </c>
      <c r="F25" s="151">
        <v>16</v>
      </c>
      <c r="G25" s="151">
        <v>14</v>
      </c>
      <c r="H25" s="232">
        <f>計分版!D235</f>
        <v>3.1500000000000005E-9</v>
      </c>
      <c r="I25" s="153">
        <f t="shared" si="0"/>
        <v>-15.999999996850001</v>
      </c>
      <c r="J25" s="154">
        <f t="shared" si="1"/>
        <v>-5079365078.3650789</v>
      </c>
      <c r="K25" s="152">
        <v>340</v>
      </c>
      <c r="L25" s="155"/>
      <c r="M25" s="156">
        <f>入學要求!S245</f>
        <v>0</v>
      </c>
      <c r="N25" s="157" t="s">
        <v>417</v>
      </c>
      <c r="O25" s="157">
        <v>2</v>
      </c>
      <c r="P25" s="157">
        <v>2</v>
      </c>
      <c r="Q25" s="157">
        <v>2</v>
      </c>
      <c r="R25" s="157">
        <v>2</v>
      </c>
      <c r="S25" s="157">
        <v>2</v>
      </c>
      <c r="T25" s="157"/>
    </row>
    <row r="26" spans="1:20" ht="18" customHeight="1">
      <c r="A26" s="19" t="s">
        <v>763</v>
      </c>
      <c r="B26" s="19" t="s">
        <v>869</v>
      </c>
      <c r="C26" s="19" t="s">
        <v>764</v>
      </c>
      <c r="D26" s="19" t="s">
        <v>765</v>
      </c>
      <c r="E26" s="19" t="s">
        <v>844</v>
      </c>
      <c r="F26" s="21">
        <v>18</v>
      </c>
      <c r="G26" s="21">
        <v>16</v>
      </c>
      <c r="H26" s="228">
        <f>計分版!D236</f>
        <v>3.1500000000000005E-9</v>
      </c>
      <c r="I26" s="91">
        <f t="shared" si="0"/>
        <v>-17.999999996850001</v>
      </c>
      <c r="J26" s="92">
        <f t="shared" si="1"/>
        <v>-5714285713.2857132</v>
      </c>
      <c r="K26" s="142">
        <v>92</v>
      </c>
      <c r="L26" s="93"/>
      <c r="M26" s="24">
        <f>入學要求!S246</f>
        <v>0</v>
      </c>
      <c r="N26" s="47" t="s">
        <v>416</v>
      </c>
      <c r="O26" s="47">
        <v>2</v>
      </c>
      <c r="P26" s="47">
        <v>2</v>
      </c>
      <c r="Q26" s="47">
        <v>2</v>
      </c>
      <c r="R26" s="47">
        <v>2</v>
      </c>
      <c r="S26" s="47">
        <v>2</v>
      </c>
      <c r="T26" s="47"/>
    </row>
    <row r="27" spans="1:20" s="150" customFormat="1" ht="18" customHeight="1">
      <c r="A27" s="150" t="s">
        <v>766</v>
      </c>
      <c r="B27" s="150" t="s">
        <v>991</v>
      </c>
      <c r="C27" s="150" t="s">
        <v>767</v>
      </c>
      <c r="D27" s="150" t="s">
        <v>768</v>
      </c>
      <c r="E27" s="150" t="s">
        <v>215</v>
      </c>
      <c r="F27" s="151">
        <v>31.5</v>
      </c>
      <c r="G27" s="151">
        <v>31</v>
      </c>
      <c r="H27" s="232">
        <f>計分版!D237</f>
        <v>3.2500000000000002E-9</v>
      </c>
      <c r="I27" s="153">
        <f t="shared" si="0"/>
        <v>-31.499999996749999</v>
      </c>
      <c r="J27" s="154">
        <f t="shared" si="1"/>
        <v>-9692307691.3076916</v>
      </c>
      <c r="K27" s="152">
        <v>17</v>
      </c>
      <c r="L27" s="155"/>
      <c r="M27" s="156">
        <f>入學要求!S247</f>
        <v>0</v>
      </c>
      <c r="N27" s="157" t="s">
        <v>416</v>
      </c>
      <c r="O27" s="157">
        <v>3</v>
      </c>
      <c r="P27" s="157">
        <v>3</v>
      </c>
      <c r="Q27" s="157">
        <v>2</v>
      </c>
      <c r="R27" s="157">
        <v>2</v>
      </c>
      <c r="S27" s="157">
        <v>3</v>
      </c>
      <c r="T27" s="157">
        <v>3</v>
      </c>
    </row>
    <row r="28" spans="1:20" ht="18" customHeight="1">
      <c r="A28" s="19" t="s">
        <v>769</v>
      </c>
      <c r="B28" s="19" t="s">
        <v>991</v>
      </c>
      <c r="C28" s="19" t="s">
        <v>770</v>
      </c>
      <c r="D28" s="19" t="s">
        <v>771</v>
      </c>
      <c r="E28" s="19" t="s">
        <v>215</v>
      </c>
      <c r="F28" s="21">
        <v>39.5</v>
      </c>
      <c r="G28" s="21">
        <v>39</v>
      </c>
      <c r="H28" s="228">
        <f>計分版!D238</f>
        <v>3.3500000000000002E-9</v>
      </c>
      <c r="I28" s="91">
        <f t="shared" si="0"/>
        <v>-39.499999996649997</v>
      </c>
      <c r="J28" s="92">
        <f t="shared" si="1"/>
        <v>-11791044775.119402</v>
      </c>
      <c r="K28" s="142">
        <v>45</v>
      </c>
      <c r="L28" s="93"/>
      <c r="M28" s="24">
        <f>入學要求!S248</f>
        <v>0</v>
      </c>
      <c r="N28" s="47" t="s">
        <v>416</v>
      </c>
      <c r="O28" s="47">
        <v>3</v>
      </c>
      <c r="P28" s="47">
        <v>3</v>
      </c>
      <c r="Q28" s="47">
        <v>2</v>
      </c>
      <c r="R28" s="47">
        <v>2</v>
      </c>
      <c r="S28" s="47">
        <v>3</v>
      </c>
      <c r="T28" s="47">
        <v>3</v>
      </c>
    </row>
    <row r="29" spans="1:20" s="150" customFormat="1" ht="18" customHeight="1">
      <c r="A29" s="150" t="s">
        <v>772</v>
      </c>
      <c r="B29" s="150" t="s">
        <v>991</v>
      </c>
      <c r="C29" s="150" t="s">
        <v>773</v>
      </c>
      <c r="D29" s="150" t="s">
        <v>774</v>
      </c>
      <c r="E29" s="150" t="s">
        <v>215</v>
      </c>
      <c r="F29" s="151">
        <v>35</v>
      </c>
      <c r="G29" s="151">
        <v>34.5</v>
      </c>
      <c r="H29" s="232">
        <f>計分版!D239</f>
        <v>3.3500000000000002E-9</v>
      </c>
      <c r="I29" s="153">
        <f t="shared" si="0"/>
        <v>-34.999999996649997</v>
      </c>
      <c r="J29" s="154">
        <f t="shared" si="1"/>
        <v>-10447761193.02985</v>
      </c>
      <c r="K29" s="152">
        <v>26</v>
      </c>
      <c r="L29" s="155"/>
      <c r="M29" s="156">
        <f>入學要求!S249</f>
        <v>0</v>
      </c>
      <c r="N29" s="157" t="s">
        <v>416</v>
      </c>
      <c r="O29" s="157">
        <v>3</v>
      </c>
      <c r="P29" s="157">
        <v>3</v>
      </c>
      <c r="Q29" s="157">
        <v>2</v>
      </c>
      <c r="R29" s="157">
        <v>2</v>
      </c>
      <c r="S29" s="157">
        <v>3</v>
      </c>
      <c r="T29" s="157">
        <v>3</v>
      </c>
    </row>
    <row r="30" spans="1:20" ht="18" customHeight="1">
      <c r="A30" s="19" t="s">
        <v>775</v>
      </c>
      <c r="B30" s="19" t="s">
        <v>991</v>
      </c>
      <c r="C30" s="19" t="s">
        <v>776</v>
      </c>
      <c r="D30" s="19" t="s">
        <v>777</v>
      </c>
      <c r="E30" s="19" t="s">
        <v>215</v>
      </c>
      <c r="F30" s="21">
        <v>32.5</v>
      </c>
      <c r="G30" s="21">
        <v>32</v>
      </c>
      <c r="H30" s="228">
        <f>計分版!D240</f>
        <v>3.0999999999999996E-9</v>
      </c>
      <c r="I30" s="91">
        <f t="shared" si="0"/>
        <v>-32.499999996900002</v>
      </c>
      <c r="J30" s="92">
        <f t="shared" si="1"/>
        <v>-10483870966.741938</v>
      </c>
      <c r="K30" s="142">
        <v>39</v>
      </c>
      <c r="L30" s="93"/>
      <c r="M30" s="24">
        <f>入學要求!S250</f>
        <v>0</v>
      </c>
      <c r="N30" s="47" t="s">
        <v>417</v>
      </c>
      <c r="O30" s="47">
        <v>3</v>
      </c>
      <c r="P30" s="47">
        <v>3</v>
      </c>
      <c r="Q30" s="47">
        <v>2</v>
      </c>
      <c r="R30" s="47">
        <v>2</v>
      </c>
      <c r="S30" s="47">
        <v>3</v>
      </c>
      <c r="T30" s="47">
        <v>3</v>
      </c>
    </row>
    <row r="31" spans="1:20" s="150" customFormat="1" ht="18" customHeight="1">
      <c r="A31" s="150" t="s">
        <v>778</v>
      </c>
      <c r="B31" s="150" t="s">
        <v>991</v>
      </c>
      <c r="C31" s="150" t="s">
        <v>779</v>
      </c>
      <c r="D31" s="150" t="s">
        <v>780</v>
      </c>
      <c r="E31" s="150" t="s">
        <v>82</v>
      </c>
      <c r="F31" s="151">
        <v>23.5</v>
      </c>
      <c r="G31" s="151">
        <v>23.25</v>
      </c>
      <c r="H31" s="232">
        <f>計分版!D241</f>
        <v>3.9500000000000006E-9</v>
      </c>
      <c r="I31" s="153">
        <f t="shared" si="0"/>
        <v>-23.499999996050001</v>
      </c>
      <c r="J31" s="154">
        <f t="shared" si="1"/>
        <v>-5949367087.6075945</v>
      </c>
      <c r="K31" s="152">
        <v>49</v>
      </c>
      <c r="L31" s="155"/>
      <c r="M31" s="156">
        <f>入學要求!S251</f>
        <v>0</v>
      </c>
      <c r="N31" s="157" t="s">
        <v>416</v>
      </c>
      <c r="O31" s="157">
        <v>3</v>
      </c>
      <c r="P31" s="157">
        <v>3</v>
      </c>
      <c r="Q31" s="157">
        <v>2</v>
      </c>
      <c r="R31" s="157">
        <v>2</v>
      </c>
      <c r="S31" s="157">
        <v>3</v>
      </c>
      <c r="T31" s="157">
        <v>3</v>
      </c>
    </row>
    <row r="32" spans="1:20" ht="18" customHeight="1">
      <c r="A32" s="19" t="s">
        <v>781</v>
      </c>
      <c r="B32" s="19" t="s">
        <v>991</v>
      </c>
      <c r="C32" s="19" t="s">
        <v>782</v>
      </c>
      <c r="D32" s="19" t="s">
        <v>783</v>
      </c>
      <c r="E32" s="19" t="s">
        <v>215</v>
      </c>
      <c r="F32" s="21">
        <v>31</v>
      </c>
      <c r="G32" s="21">
        <v>30.5</v>
      </c>
      <c r="H32" s="228">
        <f>計分版!D242</f>
        <v>3.2500000000000002E-9</v>
      </c>
      <c r="I32" s="91">
        <f t="shared" si="0"/>
        <v>-30.999999996749999</v>
      </c>
      <c r="J32" s="92">
        <f t="shared" si="1"/>
        <v>-9538461537.4615383</v>
      </c>
      <c r="K32" s="142">
        <v>72</v>
      </c>
      <c r="L32" s="93"/>
      <c r="M32" s="24">
        <f>入學要求!S252</f>
        <v>0</v>
      </c>
      <c r="N32" s="47" t="s">
        <v>416</v>
      </c>
      <c r="O32" s="47">
        <v>3</v>
      </c>
      <c r="P32" s="47">
        <v>3</v>
      </c>
      <c r="Q32" s="47">
        <v>2</v>
      </c>
      <c r="R32" s="47">
        <v>2</v>
      </c>
      <c r="S32" s="47">
        <v>3</v>
      </c>
      <c r="T32" s="47">
        <v>3</v>
      </c>
    </row>
    <row r="33" spans="1:20" s="150" customFormat="1" ht="18" customHeight="1">
      <c r="A33" s="150" t="s">
        <v>784</v>
      </c>
      <c r="B33" s="150" t="s">
        <v>991</v>
      </c>
      <c r="C33" s="150" t="s">
        <v>785</v>
      </c>
      <c r="D33" s="150" t="s">
        <v>786</v>
      </c>
      <c r="E33" s="150" t="s">
        <v>215</v>
      </c>
      <c r="F33" s="151">
        <v>30</v>
      </c>
      <c r="G33" s="151">
        <v>29</v>
      </c>
      <c r="H33" s="232">
        <f>計分版!D243</f>
        <v>3.05E-9</v>
      </c>
      <c r="I33" s="153">
        <f t="shared" si="0"/>
        <v>-29.999999996949999</v>
      </c>
      <c r="J33" s="154">
        <f t="shared" si="1"/>
        <v>-9836065572.7704906</v>
      </c>
      <c r="K33" s="152">
        <v>18</v>
      </c>
      <c r="L33" s="155"/>
      <c r="M33" s="156">
        <f>入學要求!S253</f>
        <v>0</v>
      </c>
      <c r="N33" s="157" t="s">
        <v>416</v>
      </c>
      <c r="O33" s="157">
        <v>3</v>
      </c>
      <c r="P33" s="157">
        <v>3</v>
      </c>
      <c r="Q33" s="157">
        <v>2</v>
      </c>
      <c r="R33" s="157">
        <v>2</v>
      </c>
      <c r="S33" s="157">
        <v>3</v>
      </c>
      <c r="T33" s="157">
        <v>3</v>
      </c>
    </row>
    <row r="34" spans="1:20" ht="18" customHeight="1">
      <c r="A34" s="19" t="s">
        <v>787</v>
      </c>
      <c r="B34" s="19" t="s">
        <v>991</v>
      </c>
      <c r="C34" s="19" t="s">
        <v>788</v>
      </c>
      <c r="D34" s="19" t="s">
        <v>789</v>
      </c>
      <c r="E34" s="19" t="s">
        <v>215</v>
      </c>
      <c r="F34" s="21" t="s">
        <v>393</v>
      </c>
      <c r="G34" s="21" t="s">
        <v>393</v>
      </c>
      <c r="H34" s="228" t="str">
        <f>計分版!D244</f>
        <v>/</v>
      </c>
      <c r="I34" s="22" t="s">
        <v>393</v>
      </c>
      <c r="J34" s="22" t="s">
        <v>393</v>
      </c>
      <c r="K34" s="142">
        <v>24</v>
      </c>
      <c r="L34" s="93"/>
      <c r="M34" s="24">
        <f>入學要求!S254</f>
        <v>0</v>
      </c>
      <c r="N34" s="47" t="s">
        <v>416</v>
      </c>
      <c r="O34" s="47">
        <v>3</v>
      </c>
      <c r="P34" s="47">
        <v>3</v>
      </c>
      <c r="Q34" s="47">
        <v>2</v>
      </c>
      <c r="R34" s="47">
        <v>2</v>
      </c>
      <c r="S34" s="47">
        <v>3</v>
      </c>
      <c r="T34" s="47">
        <v>3</v>
      </c>
    </row>
    <row r="35" spans="1:20" s="150" customFormat="1" ht="18" customHeight="1">
      <c r="A35" s="150" t="s">
        <v>790</v>
      </c>
      <c r="B35" s="150" t="s">
        <v>991</v>
      </c>
      <c r="C35" s="150" t="s">
        <v>791</v>
      </c>
      <c r="D35" s="150" t="s">
        <v>792</v>
      </c>
      <c r="E35" s="150" t="s">
        <v>215</v>
      </c>
      <c r="F35" s="151" t="s">
        <v>393</v>
      </c>
      <c r="G35" s="151" t="s">
        <v>393</v>
      </c>
      <c r="H35" s="232" t="str">
        <f>計分版!D245</f>
        <v>/</v>
      </c>
      <c r="I35" s="159" t="s">
        <v>393</v>
      </c>
      <c r="J35" s="159" t="s">
        <v>393</v>
      </c>
      <c r="K35" s="152">
        <v>17</v>
      </c>
      <c r="L35" s="155"/>
      <c r="M35" s="156">
        <f>入學要求!S255</f>
        <v>0</v>
      </c>
      <c r="N35" s="157" t="s">
        <v>416</v>
      </c>
      <c r="O35" s="157">
        <v>3</v>
      </c>
      <c r="P35" s="157">
        <v>3</v>
      </c>
      <c r="Q35" s="157">
        <v>2</v>
      </c>
      <c r="R35" s="157">
        <v>2</v>
      </c>
      <c r="S35" s="157">
        <v>3</v>
      </c>
      <c r="T35" s="157">
        <v>3</v>
      </c>
    </row>
    <row r="36" spans="1:20" ht="18" customHeight="1">
      <c r="A36" s="19" t="s">
        <v>793</v>
      </c>
      <c r="B36" s="19" t="s">
        <v>991</v>
      </c>
      <c r="C36" s="19" t="s">
        <v>794</v>
      </c>
      <c r="D36" s="19" t="s">
        <v>795</v>
      </c>
      <c r="E36" s="19" t="s">
        <v>215</v>
      </c>
      <c r="F36" s="21" t="s">
        <v>393</v>
      </c>
      <c r="G36" s="21" t="s">
        <v>393</v>
      </c>
      <c r="H36" s="228" t="str">
        <f>計分版!D246</f>
        <v>/</v>
      </c>
      <c r="I36" s="22" t="s">
        <v>393</v>
      </c>
      <c r="J36" s="22" t="s">
        <v>393</v>
      </c>
      <c r="K36" s="142">
        <v>42</v>
      </c>
      <c r="L36" s="93"/>
      <c r="M36" s="24">
        <f>入學要求!S256</f>
        <v>0</v>
      </c>
      <c r="N36" s="47" t="s">
        <v>417</v>
      </c>
      <c r="O36" s="47">
        <v>3</v>
      </c>
      <c r="P36" s="47">
        <v>3</v>
      </c>
      <c r="Q36" s="47">
        <v>2</v>
      </c>
      <c r="R36" s="47">
        <v>2</v>
      </c>
      <c r="S36" s="47">
        <v>3</v>
      </c>
      <c r="T36" s="47">
        <v>3</v>
      </c>
    </row>
    <row r="37" spans="1:20" s="150" customFormat="1" ht="18" customHeight="1">
      <c r="A37" s="150" t="s">
        <v>796</v>
      </c>
      <c r="B37" s="150" t="s">
        <v>424</v>
      </c>
      <c r="C37" s="150" t="s">
        <v>797</v>
      </c>
      <c r="D37" s="150" t="s">
        <v>798</v>
      </c>
      <c r="E37" s="150" t="s">
        <v>215</v>
      </c>
      <c r="F37" s="151">
        <v>33</v>
      </c>
      <c r="G37" s="151">
        <v>32</v>
      </c>
      <c r="H37" s="232">
        <f>計分版!D247</f>
        <v>3.1999999999999997E-9</v>
      </c>
      <c r="I37" s="153">
        <f t="shared" si="0"/>
        <v>-32.9999999968</v>
      </c>
      <c r="J37" s="154">
        <f t="shared" si="1"/>
        <v>-10312499999</v>
      </c>
      <c r="K37" s="152">
        <v>50</v>
      </c>
      <c r="L37" s="155"/>
      <c r="M37" s="156">
        <f>入學要求!S257</f>
        <v>0</v>
      </c>
      <c r="N37" s="157" t="s">
        <v>417</v>
      </c>
      <c r="O37" s="157">
        <v>3</v>
      </c>
      <c r="P37" s="157">
        <v>3</v>
      </c>
      <c r="Q37" s="157">
        <v>2</v>
      </c>
      <c r="R37" s="157">
        <v>2</v>
      </c>
      <c r="S37" s="157">
        <v>3</v>
      </c>
      <c r="T37" s="157">
        <v>3</v>
      </c>
    </row>
    <row r="38" spans="1:20" ht="18" customHeight="1">
      <c r="A38" s="19" t="s">
        <v>799</v>
      </c>
      <c r="B38" s="19" t="s">
        <v>869</v>
      </c>
      <c r="C38" s="19" t="s">
        <v>800</v>
      </c>
      <c r="D38" s="19" t="s">
        <v>801</v>
      </c>
      <c r="E38" s="19" t="s">
        <v>215</v>
      </c>
      <c r="F38" s="21">
        <v>27</v>
      </c>
      <c r="G38" s="21">
        <v>27</v>
      </c>
      <c r="H38" s="228">
        <f>計分版!D248</f>
        <v>3.05E-9</v>
      </c>
      <c r="I38" s="91">
        <f t="shared" si="0"/>
        <v>-26.999999996949999</v>
      </c>
      <c r="J38" s="92">
        <f t="shared" si="1"/>
        <v>-8852459015.3934422</v>
      </c>
      <c r="K38" s="142">
        <v>103</v>
      </c>
      <c r="L38" s="93"/>
      <c r="M38" s="24">
        <f>入學要求!S258</f>
        <v>0</v>
      </c>
      <c r="N38" s="47" t="s">
        <v>416</v>
      </c>
      <c r="O38" s="47">
        <v>3</v>
      </c>
      <c r="P38" s="47">
        <v>3</v>
      </c>
      <c r="Q38" s="47">
        <v>3</v>
      </c>
      <c r="R38" s="47">
        <v>2</v>
      </c>
      <c r="S38" s="47">
        <v>3</v>
      </c>
      <c r="T38" s="47">
        <v>3</v>
      </c>
    </row>
    <row r="39" spans="1:20" s="150" customFormat="1" ht="18" customHeight="1">
      <c r="A39" s="150" t="s">
        <v>802</v>
      </c>
      <c r="B39" s="150" t="s">
        <v>869</v>
      </c>
      <c r="C39" s="150" t="s">
        <v>1019</v>
      </c>
      <c r="D39" s="150" t="s">
        <v>804</v>
      </c>
      <c r="E39" s="150" t="s">
        <v>215</v>
      </c>
      <c r="F39" s="151">
        <v>36</v>
      </c>
      <c r="G39" s="151">
        <v>35</v>
      </c>
      <c r="H39" s="232">
        <f>計分版!D249</f>
        <v>3.4500000000000003E-9</v>
      </c>
      <c r="I39" s="153">
        <f t="shared" si="0"/>
        <v>-35.999999996550002</v>
      </c>
      <c r="J39" s="154">
        <f t="shared" si="1"/>
        <v>-10434782607.695652</v>
      </c>
      <c r="K39" s="152">
        <v>163</v>
      </c>
      <c r="L39" s="155"/>
      <c r="M39" s="156">
        <f>入學要求!S259</f>
        <v>0</v>
      </c>
      <c r="N39" s="157" t="s">
        <v>416</v>
      </c>
      <c r="O39" s="157">
        <v>3</v>
      </c>
      <c r="P39" s="157">
        <v>3</v>
      </c>
      <c r="Q39" s="157">
        <v>3</v>
      </c>
      <c r="R39" s="157">
        <v>2</v>
      </c>
      <c r="S39" s="157">
        <v>3</v>
      </c>
      <c r="T39" s="157">
        <v>3</v>
      </c>
    </row>
    <row r="40" spans="1:20" ht="18" customHeight="1">
      <c r="A40" s="19" t="s">
        <v>805</v>
      </c>
      <c r="B40" s="19" t="s">
        <v>424</v>
      </c>
      <c r="C40" s="19" t="s">
        <v>806</v>
      </c>
      <c r="D40" s="19" t="s">
        <v>807</v>
      </c>
      <c r="E40" s="19" t="s">
        <v>215</v>
      </c>
      <c r="F40" s="21">
        <v>37</v>
      </c>
      <c r="G40" s="21">
        <v>35.5</v>
      </c>
      <c r="H40" s="228">
        <f>計分版!D250</f>
        <v>3.6E-9</v>
      </c>
      <c r="I40" s="91">
        <f t="shared" si="0"/>
        <v>-36.9999999964</v>
      </c>
      <c r="J40" s="92">
        <f t="shared" si="1"/>
        <v>-10277777776.777779</v>
      </c>
      <c r="K40" s="142">
        <v>40</v>
      </c>
      <c r="L40" s="93"/>
      <c r="M40" s="24">
        <f>入學要求!S260</f>
        <v>0</v>
      </c>
      <c r="N40" s="260" t="s">
        <v>416</v>
      </c>
      <c r="O40" s="47">
        <v>3</v>
      </c>
      <c r="P40" s="47">
        <v>3</v>
      </c>
      <c r="Q40" s="47">
        <v>3</v>
      </c>
      <c r="R40" s="47">
        <v>2</v>
      </c>
      <c r="S40" s="47">
        <v>3</v>
      </c>
      <c r="T40" s="47">
        <v>3</v>
      </c>
    </row>
    <row r="41" spans="1:20" s="150" customFormat="1" ht="18" customHeight="1">
      <c r="A41" s="150" t="s">
        <v>1534</v>
      </c>
      <c r="B41" s="150" t="s">
        <v>869</v>
      </c>
      <c r="C41" s="150" t="s">
        <v>809</v>
      </c>
      <c r="D41" s="150" t="s">
        <v>810</v>
      </c>
      <c r="E41" s="150" t="s">
        <v>215</v>
      </c>
      <c r="F41" s="151">
        <v>33</v>
      </c>
      <c r="G41" s="151">
        <v>31</v>
      </c>
      <c r="H41" s="232">
        <f>計分版!D251</f>
        <v>3.3500000000000002E-9</v>
      </c>
      <c r="I41" s="153">
        <f t="shared" si="0"/>
        <v>-32.999999996649997</v>
      </c>
      <c r="J41" s="154">
        <f t="shared" si="1"/>
        <v>-9850746267.6567154</v>
      </c>
      <c r="K41" s="152">
        <v>90</v>
      </c>
      <c r="L41" s="155"/>
      <c r="M41" s="156">
        <f>入學要求!S261</f>
        <v>0</v>
      </c>
      <c r="N41" s="152" t="s">
        <v>416</v>
      </c>
      <c r="O41" s="157">
        <v>3</v>
      </c>
      <c r="P41" s="157">
        <v>3</v>
      </c>
      <c r="Q41" s="157">
        <v>3</v>
      </c>
      <c r="R41" s="157">
        <v>2</v>
      </c>
      <c r="S41" s="157">
        <v>3</v>
      </c>
      <c r="T41" s="157">
        <v>3</v>
      </c>
    </row>
    <row r="42" spans="1:20" ht="18" customHeight="1">
      <c r="A42" s="19" t="s">
        <v>811</v>
      </c>
      <c r="B42" s="19" t="s">
        <v>424</v>
      </c>
      <c r="C42" s="19" t="s">
        <v>812</v>
      </c>
      <c r="D42" s="19" t="s">
        <v>813</v>
      </c>
      <c r="E42" s="19" t="s">
        <v>215</v>
      </c>
      <c r="F42" s="21">
        <v>30</v>
      </c>
      <c r="G42" s="21">
        <v>29</v>
      </c>
      <c r="H42" s="228">
        <f>計分版!D252</f>
        <v>3.1249999999999999E-9</v>
      </c>
      <c r="I42" s="91">
        <f t="shared" si="0"/>
        <v>-29.999999996875001</v>
      </c>
      <c r="J42" s="92">
        <f t="shared" si="1"/>
        <v>-9599999999</v>
      </c>
      <c r="K42" s="142">
        <v>36</v>
      </c>
      <c r="L42" s="93"/>
      <c r="M42" s="24">
        <f>入學要求!S262</f>
        <v>0</v>
      </c>
      <c r="N42" s="262" t="s">
        <v>417</v>
      </c>
      <c r="O42" s="47">
        <v>3</v>
      </c>
      <c r="P42" s="47">
        <v>3</v>
      </c>
      <c r="Q42" s="47">
        <v>3</v>
      </c>
      <c r="R42" s="47">
        <v>2</v>
      </c>
      <c r="S42" s="47">
        <v>3</v>
      </c>
      <c r="T42" s="47">
        <v>3</v>
      </c>
    </row>
    <row r="43" spans="1:20" s="150" customFormat="1" ht="18" customHeight="1">
      <c r="A43" s="150" t="s">
        <v>814</v>
      </c>
      <c r="B43" s="150" t="s">
        <v>869</v>
      </c>
      <c r="C43" s="150" t="s">
        <v>815</v>
      </c>
      <c r="D43" s="150" t="s">
        <v>816</v>
      </c>
      <c r="E43" s="150" t="s">
        <v>215</v>
      </c>
      <c r="F43" s="151">
        <v>30</v>
      </c>
      <c r="G43" s="151">
        <v>29.5</v>
      </c>
      <c r="H43" s="232">
        <f>計分版!D253</f>
        <v>3.05E-9</v>
      </c>
      <c r="I43" s="153">
        <f t="shared" si="0"/>
        <v>-29.999999996949999</v>
      </c>
      <c r="J43" s="154">
        <f t="shared" si="1"/>
        <v>-9836065572.7704906</v>
      </c>
      <c r="K43" s="152">
        <v>38</v>
      </c>
      <c r="L43" s="155"/>
      <c r="M43" s="156">
        <f>入學要求!S263</f>
        <v>0</v>
      </c>
      <c r="N43" s="157" t="s">
        <v>416</v>
      </c>
      <c r="O43" s="157">
        <v>3</v>
      </c>
      <c r="P43" s="157">
        <v>3</v>
      </c>
      <c r="Q43" s="157">
        <v>2</v>
      </c>
      <c r="R43" s="157">
        <v>2</v>
      </c>
      <c r="S43" s="157">
        <v>3</v>
      </c>
      <c r="T43" s="157">
        <v>3</v>
      </c>
    </row>
    <row r="44" spans="1:20" ht="18" customHeight="1">
      <c r="A44" s="19" t="s">
        <v>817</v>
      </c>
      <c r="B44" s="19" t="s">
        <v>869</v>
      </c>
      <c r="C44" s="19" t="s">
        <v>818</v>
      </c>
      <c r="D44" s="19" t="s">
        <v>819</v>
      </c>
      <c r="E44" s="19" t="s">
        <v>215</v>
      </c>
      <c r="F44" s="121">
        <v>37</v>
      </c>
      <c r="G44" s="121">
        <v>36</v>
      </c>
      <c r="H44" s="228">
        <f>計分版!D254</f>
        <v>3.3500000000000002E-9</v>
      </c>
      <c r="I44" s="91">
        <f t="shared" si="0"/>
        <v>-36.999999996649997</v>
      </c>
      <c r="J44" s="92">
        <f t="shared" si="1"/>
        <v>-11044776118.402983</v>
      </c>
      <c r="K44" s="142">
        <v>50</v>
      </c>
      <c r="M44" s="24">
        <f>入學要求!S264</f>
        <v>0</v>
      </c>
      <c r="N44" s="260" t="s">
        <v>416</v>
      </c>
      <c r="O44" s="47">
        <v>3</v>
      </c>
      <c r="P44" s="47">
        <v>3</v>
      </c>
      <c r="Q44" s="47">
        <v>3</v>
      </c>
      <c r="R44" s="47">
        <v>2</v>
      </c>
      <c r="S44" s="47">
        <v>3</v>
      </c>
      <c r="T44" s="47">
        <v>3</v>
      </c>
    </row>
    <row r="45" spans="1:20" s="150" customFormat="1" ht="18" customHeight="1">
      <c r="A45" s="150" t="s">
        <v>820</v>
      </c>
      <c r="B45" s="150" t="s">
        <v>869</v>
      </c>
      <c r="C45" s="150" t="s">
        <v>821</v>
      </c>
      <c r="D45" s="150" t="s">
        <v>822</v>
      </c>
      <c r="E45" s="150" t="s">
        <v>215</v>
      </c>
      <c r="F45" s="160">
        <v>28</v>
      </c>
      <c r="G45" s="160">
        <v>28</v>
      </c>
      <c r="H45" s="232">
        <f>計分版!D255</f>
        <v>3.1999999999999997E-9</v>
      </c>
      <c r="I45" s="153">
        <f t="shared" si="0"/>
        <v>-27.9999999968</v>
      </c>
      <c r="J45" s="154">
        <f t="shared" si="1"/>
        <v>-8749999999</v>
      </c>
      <c r="K45" s="152">
        <v>13</v>
      </c>
      <c r="M45" s="156">
        <f>入學要求!S265</f>
        <v>0</v>
      </c>
      <c r="N45" s="157" t="s">
        <v>416</v>
      </c>
      <c r="O45" s="157">
        <v>3</v>
      </c>
      <c r="P45" s="157">
        <v>3</v>
      </c>
      <c r="Q45" s="157">
        <v>3</v>
      </c>
      <c r="R45" s="157">
        <v>2</v>
      </c>
      <c r="S45" s="157">
        <v>3</v>
      </c>
      <c r="T45" s="157">
        <v>3</v>
      </c>
    </row>
    <row r="46" spans="1:20" ht="18" customHeight="1">
      <c r="A46" s="19" t="s">
        <v>823</v>
      </c>
      <c r="B46" s="19" t="s">
        <v>869</v>
      </c>
      <c r="C46" s="19" t="s">
        <v>824</v>
      </c>
      <c r="D46" s="19" t="s">
        <v>825</v>
      </c>
      <c r="E46" s="19" t="s">
        <v>215</v>
      </c>
      <c r="F46" s="21" t="s">
        <v>393</v>
      </c>
      <c r="G46" s="21" t="s">
        <v>393</v>
      </c>
      <c r="H46" s="228" t="str">
        <f>計分版!D256</f>
        <v>/</v>
      </c>
      <c r="I46" s="22" t="s">
        <v>393</v>
      </c>
      <c r="J46" s="22" t="s">
        <v>393</v>
      </c>
      <c r="K46" s="142">
        <v>25</v>
      </c>
      <c r="M46" s="24">
        <f>入學要求!S266</f>
        <v>0</v>
      </c>
      <c r="N46" s="260" t="s">
        <v>416</v>
      </c>
      <c r="O46" s="47">
        <v>3</v>
      </c>
      <c r="P46" s="47">
        <v>3</v>
      </c>
      <c r="Q46" s="47">
        <v>3</v>
      </c>
      <c r="R46" s="47">
        <v>2</v>
      </c>
      <c r="S46" s="47">
        <v>3</v>
      </c>
      <c r="T46" s="47">
        <v>3</v>
      </c>
    </row>
    <row r="47" spans="1:20" s="150" customFormat="1" ht="18" customHeight="1">
      <c r="A47" s="150" t="s">
        <v>826</v>
      </c>
      <c r="B47" s="150" t="s">
        <v>869</v>
      </c>
      <c r="C47" s="150" t="s">
        <v>827</v>
      </c>
      <c r="D47" s="150" t="s">
        <v>828</v>
      </c>
      <c r="E47" s="150" t="s">
        <v>215</v>
      </c>
      <c r="F47" s="160" t="s">
        <v>393</v>
      </c>
      <c r="G47" s="160" t="s">
        <v>393</v>
      </c>
      <c r="H47" s="232" t="str">
        <f>計分版!D257</f>
        <v>/</v>
      </c>
      <c r="I47" s="159" t="s">
        <v>393</v>
      </c>
      <c r="J47" s="159" t="s">
        <v>393</v>
      </c>
      <c r="K47" s="152">
        <v>46</v>
      </c>
      <c r="M47" s="156">
        <f>入學要求!S267</f>
        <v>0</v>
      </c>
      <c r="N47" s="157" t="s">
        <v>416</v>
      </c>
      <c r="O47" s="157">
        <v>3</v>
      </c>
      <c r="P47" s="157">
        <v>3</v>
      </c>
      <c r="Q47" s="157">
        <v>3</v>
      </c>
      <c r="R47" s="157">
        <v>2</v>
      </c>
      <c r="S47" s="157">
        <v>3</v>
      </c>
      <c r="T47" s="157">
        <v>3</v>
      </c>
    </row>
    <row r="48" spans="1:20" ht="18" customHeight="1">
      <c r="A48" s="19" t="s">
        <v>829</v>
      </c>
      <c r="B48" s="19" t="s">
        <v>869</v>
      </c>
      <c r="C48" s="19" t="s">
        <v>234</v>
      </c>
      <c r="D48" s="19" t="s">
        <v>830</v>
      </c>
      <c r="E48" s="19" t="s">
        <v>215</v>
      </c>
      <c r="F48" s="121" t="s">
        <v>393</v>
      </c>
      <c r="G48" s="121" t="s">
        <v>393</v>
      </c>
      <c r="H48" s="228" t="str">
        <f>計分版!D258</f>
        <v>/</v>
      </c>
      <c r="I48" s="22" t="s">
        <v>393</v>
      </c>
      <c r="J48" s="22" t="s">
        <v>393</v>
      </c>
      <c r="K48" s="142">
        <v>28</v>
      </c>
      <c r="M48" s="24">
        <f>入學要求!S268</f>
        <v>0</v>
      </c>
      <c r="N48" s="260" t="s">
        <v>416</v>
      </c>
      <c r="O48" s="47">
        <v>3</v>
      </c>
      <c r="P48" s="47">
        <v>3</v>
      </c>
      <c r="Q48" s="47">
        <v>3</v>
      </c>
      <c r="R48" s="47">
        <v>2</v>
      </c>
      <c r="S48" s="47">
        <v>3</v>
      </c>
      <c r="T48" s="47">
        <v>3</v>
      </c>
    </row>
    <row r="49" spans="1:20" s="150" customFormat="1" ht="18" customHeight="1">
      <c r="A49" s="150" t="s">
        <v>831</v>
      </c>
      <c r="B49" s="150" t="s">
        <v>999</v>
      </c>
      <c r="C49" s="150" t="s">
        <v>832</v>
      </c>
      <c r="D49" s="150" t="s">
        <v>833</v>
      </c>
      <c r="E49" s="150" t="s">
        <v>215</v>
      </c>
      <c r="F49" s="151">
        <v>34</v>
      </c>
      <c r="G49" s="151">
        <v>33</v>
      </c>
      <c r="H49" s="232">
        <f>計分版!D259</f>
        <v>2.8499999999999999E-9</v>
      </c>
      <c r="I49" s="153">
        <f t="shared" ref="I49:I50" si="2">IF(I$1="差距(Median)",H49-F49,IF(I$1="差距(LQ)",H49-G49))</f>
        <v>-33.999999997149999</v>
      </c>
      <c r="J49" s="154">
        <f t="shared" ref="J49:J50" si="3">IF(I$1="差距(Median)",(H49-F49)/H49,IF(I$1="差距(LQ)",(H49-G49)/H49))</f>
        <v>-11929824560.403509</v>
      </c>
      <c r="K49" s="152">
        <v>30</v>
      </c>
      <c r="M49" s="156">
        <f>入學要求!S269</f>
        <v>0</v>
      </c>
      <c r="N49" s="157" t="s">
        <v>417</v>
      </c>
      <c r="O49" s="157">
        <v>3</v>
      </c>
      <c r="P49" s="157">
        <v>3</v>
      </c>
      <c r="Q49" s="157">
        <v>2</v>
      </c>
      <c r="R49" s="157">
        <v>2</v>
      </c>
      <c r="S49" s="157">
        <v>3</v>
      </c>
      <c r="T49" s="157">
        <v>3</v>
      </c>
    </row>
    <row r="50" spans="1:20" ht="18" customHeight="1">
      <c r="A50" s="19" t="s">
        <v>834</v>
      </c>
      <c r="B50" s="19" t="s">
        <v>999</v>
      </c>
      <c r="C50" s="19" t="s">
        <v>835</v>
      </c>
      <c r="D50" s="19" t="s">
        <v>836</v>
      </c>
      <c r="E50" s="19" t="s">
        <v>215</v>
      </c>
      <c r="F50" s="121">
        <v>38.5</v>
      </c>
      <c r="G50" s="121">
        <v>38</v>
      </c>
      <c r="H50" s="228">
        <f>計分版!D260</f>
        <v>3.1999999999999997E-9</v>
      </c>
      <c r="I50" s="91">
        <f t="shared" si="2"/>
        <v>-38.4999999968</v>
      </c>
      <c r="J50" s="92">
        <f t="shared" si="3"/>
        <v>-12031249999.000002</v>
      </c>
      <c r="K50" s="142">
        <v>25</v>
      </c>
      <c r="M50" s="24">
        <f>入學要求!S270</f>
        <v>0</v>
      </c>
      <c r="N50" s="260" t="s">
        <v>416</v>
      </c>
      <c r="O50" s="47">
        <v>3</v>
      </c>
      <c r="P50" s="47">
        <v>3</v>
      </c>
      <c r="Q50" s="47">
        <v>2</v>
      </c>
      <c r="R50" s="47">
        <v>2</v>
      </c>
      <c r="S50" s="47">
        <v>3</v>
      </c>
      <c r="T50" s="47">
        <v>3</v>
      </c>
    </row>
    <row r="51" spans="1:20" s="150" customFormat="1" ht="18" customHeight="1">
      <c r="A51" s="150" t="s">
        <v>837</v>
      </c>
      <c r="B51" s="150" t="s">
        <v>999</v>
      </c>
      <c r="C51" s="150" t="s">
        <v>838</v>
      </c>
      <c r="D51" s="150" t="s">
        <v>839</v>
      </c>
      <c r="E51" s="150" t="s">
        <v>215</v>
      </c>
      <c r="F51" s="160" t="s">
        <v>393</v>
      </c>
      <c r="G51" s="160" t="s">
        <v>393</v>
      </c>
      <c r="H51" s="232" t="str">
        <f>計分版!D261</f>
        <v>/</v>
      </c>
      <c r="I51" s="159" t="s">
        <v>393</v>
      </c>
      <c r="J51" s="159" t="s">
        <v>393</v>
      </c>
      <c r="K51" s="152">
        <v>30</v>
      </c>
      <c r="M51" s="156">
        <f>入學要求!S271</f>
        <v>0</v>
      </c>
      <c r="N51" s="157" t="s">
        <v>416</v>
      </c>
      <c r="O51" s="157">
        <v>3</v>
      </c>
      <c r="P51" s="157">
        <v>3</v>
      </c>
      <c r="Q51" s="157">
        <v>2</v>
      </c>
      <c r="R51" s="157">
        <v>2</v>
      </c>
      <c r="S51" s="157">
        <v>3</v>
      </c>
      <c r="T51" s="157">
        <v>3</v>
      </c>
    </row>
    <row r="52" spans="1:20" ht="18" customHeight="1">
      <c r="A52" s="19" t="s">
        <v>840</v>
      </c>
      <c r="B52" s="19" t="s">
        <v>999</v>
      </c>
      <c r="C52" s="19" t="s">
        <v>841</v>
      </c>
      <c r="D52" s="19" t="s">
        <v>842</v>
      </c>
      <c r="E52" s="19" t="s">
        <v>215</v>
      </c>
      <c r="F52" s="21" t="s">
        <v>393</v>
      </c>
      <c r="G52" s="21" t="s">
        <v>393</v>
      </c>
      <c r="H52" s="228" t="str">
        <f>計分版!D262</f>
        <v>/</v>
      </c>
      <c r="I52" s="22" t="s">
        <v>393</v>
      </c>
      <c r="J52" s="22" t="s">
        <v>393</v>
      </c>
      <c r="K52" s="142">
        <v>30</v>
      </c>
      <c r="M52" s="24">
        <f>入學要求!S272</f>
        <v>0</v>
      </c>
      <c r="N52" s="260" t="s">
        <v>416</v>
      </c>
      <c r="O52" s="47">
        <v>3</v>
      </c>
      <c r="P52" s="47">
        <v>3</v>
      </c>
      <c r="Q52" s="47">
        <v>3</v>
      </c>
      <c r="R52" s="47">
        <v>2</v>
      </c>
      <c r="S52" s="47">
        <v>3</v>
      </c>
      <c r="T52" s="47">
        <v>3</v>
      </c>
    </row>
    <row r="53" spans="1:20" ht="16.5" customHeight="1">
      <c r="E53" s="64"/>
    </row>
    <row r="54" spans="1:20" ht="16.5" customHeight="1">
      <c r="A54" s="19" t="s">
        <v>1033</v>
      </c>
      <c r="E54" s="64"/>
    </row>
    <row r="55" spans="1:20" ht="16.5" customHeight="1">
      <c r="A55" s="19" t="s">
        <v>1184</v>
      </c>
      <c r="E55" s="64"/>
    </row>
    <row r="56" spans="1:20" ht="16.5" customHeight="1">
      <c r="E56" s="64"/>
    </row>
    <row r="57" spans="1:20" ht="16.5" customHeight="1">
      <c r="A57" s="18" t="s">
        <v>1352</v>
      </c>
      <c r="E57" s="64"/>
    </row>
    <row r="58" spans="1:20" ht="16.5" customHeight="1">
      <c r="A58" s="270" t="s">
        <v>1362</v>
      </c>
      <c r="E58" s="64"/>
    </row>
    <row r="59" spans="1:20" ht="16.5" customHeight="1">
      <c r="A59" s="270" t="s">
        <v>1363</v>
      </c>
    </row>
    <row r="60" spans="1:20" ht="16.5" customHeight="1">
      <c r="A60" s="270" t="s">
        <v>1364</v>
      </c>
    </row>
    <row r="61" spans="1:20" ht="16.5" customHeight="1">
      <c r="A61" s="270"/>
      <c r="K61" s="262"/>
    </row>
    <row r="62" spans="1:20" ht="16.5" customHeight="1"/>
    <row r="63" spans="1:20" ht="16.5" hidden="1" customHeight="1"/>
    <row r="64" spans="1:20" ht="16.5" hidden="1" customHeight="1"/>
    <row r="65" ht="16.5" hidden="1" customHeight="1"/>
    <row r="66" ht="16.5" hidden="1" customHeight="1"/>
    <row r="67" ht="16.5" hidden="1" customHeight="1"/>
    <row r="68" ht="16.5" hidden="1" customHeight="1"/>
  </sheetData>
  <mergeCells count="1">
    <mergeCell ref="I1:J1"/>
  </mergeCells>
  <phoneticPr fontId="2" type="noConversion"/>
  <conditionalFormatting sqref="I2:J52">
    <cfRule type="cellIs" dxfId="393" priority="95" operator="equal">
      <formula>"/"</formula>
    </cfRule>
    <cfRule type="cellIs" dxfId="392" priority="96" operator="lessThan">
      <formula>0</formula>
    </cfRule>
    <cfRule type="cellIs" dxfId="391" priority="97" operator="greaterThan">
      <formula>0</formula>
    </cfRule>
  </conditionalFormatting>
  <conditionalFormatting sqref="F2:F52">
    <cfRule type="expression" dxfId="390" priority="94">
      <formula>$I$1="差距(Median)"</formula>
    </cfRule>
  </conditionalFormatting>
  <conditionalFormatting sqref="G2:G52">
    <cfRule type="expression" dxfId="389" priority="93">
      <formula>$I$1="差距(LQ)"</formula>
    </cfRule>
  </conditionalFormatting>
  <conditionalFormatting sqref="M2:M52">
    <cfRule type="cellIs" dxfId="388" priority="78" operator="equal">
      <formula>2</formula>
    </cfRule>
    <cfRule type="cellIs" dxfId="387" priority="79" operator="equal">
      <formula>1</formula>
    </cfRule>
    <cfRule type="cellIs" dxfId="386" priority="80" operator="equal">
      <formula>0</formula>
    </cfRule>
  </conditionalFormatting>
  <conditionalFormatting sqref="K2:K8 K11:K43">
    <cfRule type="cellIs" dxfId="385" priority="77" operator="lessThan">
      <formula>30</formula>
    </cfRule>
  </conditionalFormatting>
  <hyperlinks>
    <hyperlink ref="A58" r:id="rId1" xr:uid="{4C93FDC3-F974-4EB9-B082-DDA40A346A81}"/>
    <hyperlink ref="A59" r:id="rId2" xr:uid="{C6A7CE41-2FB9-4A34-BA94-40DB955E7BF3}"/>
    <hyperlink ref="A60" r:id="rId3" xr:uid="{04D5C580-FC88-4D4C-AE1D-9CC3037174DE}"/>
  </hyperlinks>
  <pageMargins left="0.7" right="0.7" top="0.75" bottom="0.75" header="0.3" footer="0.3"/>
  <legacyDrawing r:id="rId4"/>
  <extLst>
    <ext xmlns:x14="http://schemas.microsoft.com/office/spreadsheetml/2009/9/main" uri="{78C0D931-6437-407d-A8EE-F0AAD7539E65}">
      <x14:conditionalFormattings>
        <x14:conditionalFormatting xmlns:xm="http://schemas.microsoft.com/office/excel/2006/main">
          <x14:cfRule type="cellIs" priority="26" operator="lessThan" id="{2649F6CC-FD6E-4A1F-93B9-72D934C575FB}">
            <xm:f>計分版!$D$4</xm:f>
            <x14:dxf>
              <font>
                <color rgb="FF006100"/>
              </font>
              <fill>
                <patternFill>
                  <bgColor rgb="FFC6EFCE"/>
                </patternFill>
              </fill>
            </x14:dxf>
          </x14:cfRule>
          <xm:sqref>P2:P52</xm:sqref>
        </x14:conditionalFormatting>
        <x14:conditionalFormatting xmlns:xm="http://schemas.microsoft.com/office/excel/2006/main">
          <x14:cfRule type="expression" priority="6" id="{4424CC0B-6A50-4A0D-84F8-9A84C7C45960}">
            <xm:f>計分版!$R$193=0</xm:f>
            <x14:dxf>
              <font>
                <color rgb="FF9C0006"/>
              </font>
              <fill>
                <patternFill>
                  <bgColor rgb="FFFFC7CE"/>
                </patternFill>
              </fill>
            </x14:dxf>
          </x14:cfRule>
          <xm:sqref>S51</xm:sqref>
        </x14:conditionalFormatting>
        <x14:conditionalFormatting xmlns:xm="http://schemas.microsoft.com/office/excel/2006/main">
          <x14:cfRule type="cellIs" priority="27" operator="greaterThan" id="{92E3B979-FA65-410F-B707-BF3C6652BA34}">
            <xm:f>計分版!$C$13</xm:f>
            <x14:dxf>
              <font>
                <color rgb="FF9C0006"/>
              </font>
              <fill>
                <patternFill>
                  <bgColor rgb="FFFFC7CE"/>
                </patternFill>
              </fill>
            </x14:dxf>
          </x14:cfRule>
          <x14:cfRule type="cellIs" priority="28" operator="lessThan" id="{0ECB8ACC-DD4A-4CE0-A548-871CD3661357}">
            <xm:f>計分版!$C$13</xm:f>
            <x14:dxf>
              <font>
                <color rgb="FF006100"/>
              </font>
              <fill>
                <patternFill>
                  <bgColor rgb="FFC6EFCE"/>
                </patternFill>
              </fill>
            </x14:dxf>
          </x14:cfRule>
          <xm:sqref>O2:O52</xm:sqref>
        </x14:conditionalFormatting>
        <x14:conditionalFormatting xmlns:xm="http://schemas.microsoft.com/office/excel/2006/main">
          <x14:cfRule type="cellIs" priority="29" operator="greaterThan" id="{43397046-DFA1-4754-AE7B-475F43C44C8C}">
            <xm:f>計分版!$D$13</xm:f>
            <x14:dxf>
              <font>
                <color rgb="FF9C0006"/>
              </font>
              <fill>
                <patternFill>
                  <bgColor rgb="FFFFC7CE"/>
                </patternFill>
              </fill>
            </x14:dxf>
          </x14:cfRule>
          <xm:sqref>P2:P52</xm:sqref>
        </x14:conditionalFormatting>
        <x14:conditionalFormatting xmlns:xm="http://schemas.microsoft.com/office/excel/2006/main">
          <x14:cfRule type="cellIs" priority="30" operator="lessThan" id="{96243B10-72B5-4A5C-B3C9-D8BED0759902}">
            <xm:f>計分版!$E$13</xm:f>
            <x14:dxf>
              <font>
                <color rgb="FF006100"/>
              </font>
              <fill>
                <patternFill>
                  <bgColor rgb="FFC6EFCE"/>
                </patternFill>
              </fill>
            </x14:dxf>
          </x14:cfRule>
          <x14:cfRule type="cellIs" priority="31" operator="greaterThan" id="{F16CDEB0-B548-4469-9D35-C6DEA73B72E9}">
            <xm:f>計分版!$E$13</xm:f>
            <x14:dxf>
              <font>
                <color rgb="FF9C0006"/>
              </font>
              <fill>
                <patternFill>
                  <bgColor rgb="FFFFC7CE"/>
                </patternFill>
              </fill>
            </x14:dxf>
          </x14:cfRule>
          <xm:sqref>Q2:Q52</xm:sqref>
        </x14:conditionalFormatting>
        <x14:conditionalFormatting xmlns:xm="http://schemas.microsoft.com/office/excel/2006/main">
          <x14:cfRule type="cellIs" priority="32" operator="lessThan" id="{4F13EB44-85C2-42FA-9352-FC1BF92253A8}">
            <xm:f>計分版!$F$13</xm:f>
            <x14:dxf>
              <font>
                <color rgb="FF006100"/>
              </font>
              <fill>
                <patternFill>
                  <bgColor rgb="FFC6EFCE"/>
                </patternFill>
              </fill>
            </x14:dxf>
          </x14:cfRule>
          <x14:cfRule type="cellIs" priority="33" operator="greaterThan" id="{28FEB778-3BA4-433E-9D35-5C47DEE7B7F6}">
            <xm:f>計分版!$F$13</xm:f>
            <x14:dxf>
              <font>
                <color rgb="FF9C0006"/>
              </font>
              <fill>
                <patternFill>
                  <bgColor rgb="FFFFC7CE"/>
                </patternFill>
              </fill>
            </x14:dxf>
          </x14:cfRule>
          <xm:sqref>R2:R52</xm:sqref>
        </x14:conditionalFormatting>
        <x14:conditionalFormatting xmlns:xm="http://schemas.microsoft.com/office/excel/2006/main">
          <x14:cfRule type="cellIs" priority="34" operator="lessThan" id="{C8A92DCA-1A9D-45A1-9CC7-081FC725D9AD}">
            <xm:f>LARGE(計分版!$G$13:$L$13,2)</xm:f>
            <x14:dxf>
              <font>
                <color rgb="FF006100"/>
              </font>
              <fill>
                <patternFill>
                  <bgColor rgb="FFC6EFCE"/>
                </patternFill>
              </fill>
            </x14:dxf>
          </x14:cfRule>
          <x14:cfRule type="cellIs" priority="35" operator="greaterThan" id="{F57F90BE-2F57-4F74-8C4E-CC6B65E3EF80}">
            <xm:f>LARGE(計分版!$G$13:$L$13,2)</xm:f>
            <x14:dxf>
              <font>
                <color rgb="FF9C0006"/>
              </font>
              <fill>
                <patternFill>
                  <bgColor rgb="FFFFC7CE"/>
                </patternFill>
              </fill>
            </x14:dxf>
          </x14:cfRule>
          <xm:sqref>T2:T24 T38:T48 T27:T36</xm:sqref>
        </x14:conditionalFormatting>
        <x14:conditionalFormatting xmlns:xm="http://schemas.microsoft.com/office/excel/2006/main">
          <x14:cfRule type="cellIs" priority="36" operator="lessThan" id="{760D2017-C669-4970-BA1C-4BC642406160}">
            <xm:f>LARGE(計分版!$G$13:$L$13,1)</xm:f>
            <x14:dxf>
              <font>
                <color rgb="FF006100"/>
              </font>
              <fill>
                <patternFill>
                  <bgColor rgb="FFC6EFCE"/>
                </patternFill>
              </fill>
            </x14:dxf>
          </x14:cfRule>
          <x14:cfRule type="cellIs" priority="37" operator="greaterThan" id="{E226F900-6E86-4259-84F9-B73F94E6A56E}">
            <xm:f>LARGE(計分版!$G$13:$L$13,1)</xm:f>
            <x14:dxf>
              <font>
                <color rgb="FF9C0006"/>
              </font>
              <fill>
                <patternFill>
                  <bgColor rgb="FFFFC7CE"/>
                </patternFill>
              </fill>
            </x14:dxf>
          </x14:cfRule>
          <xm:sqref>S52 T49 S2:S50</xm:sqref>
        </x14:conditionalFormatting>
        <x14:conditionalFormatting xmlns:xm="http://schemas.microsoft.com/office/excel/2006/main">
          <x14:cfRule type="expression" priority="25" id="{BBF7705D-8BCD-4157-8B5B-A9EE85E6700F}">
            <xm:f>計分版!$R$206=0</xm:f>
            <x14:dxf>
              <font>
                <color rgb="FF9C0006"/>
              </font>
              <fill>
                <patternFill>
                  <bgColor rgb="FFFFC7CE"/>
                </patternFill>
              </fill>
            </x14:dxf>
          </x14:cfRule>
          <xm:sqref>S20</xm:sqref>
        </x14:conditionalFormatting>
        <x14:conditionalFormatting xmlns:xm="http://schemas.microsoft.com/office/excel/2006/main">
          <x14:cfRule type="expression" priority="24" id="{4CEE3ED1-C639-4EE8-A024-AE56A6CA58DD}">
            <xm:f>計分版!$R$207=0</xm:f>
            <x14:dxf>
              <font>
                <color rgb="FF9C0006"/>
              </font>
              <fill>
                <patternFill>
                  <bgColor rgb="FFFFC7CE"/>
                </patternFill>
              </fill>
            </x14:dxf>
          </x14:cfRule>
          <xm:sqref>S39</xm:sqref>
        </x14:conditionalFormatting>
        <x14:conditionalFormatting xmlns:xm="http://schemas.microsoft.com/office/excel/2006/main">
          <x14:cfRule type="expression" priority="23" id="{ABFD48A8-FD87-403B-9931-1D95D7170211}">
            <xm:f>計分版!$R$206=0</xm:f>
            <x14:dxf>
              <font>
                <color rgb="FF9C0006"/>
              </font>
              <fill>
                <patternFill>
                  <bgColor rgb="FFFFC7CE"/>
                </patternFill>
              </fill>
            </x14:dxf>
          </x14:cfRule>
          <xm:sqref>S38</xm:sqref>
        </x14:conditionalFormatting>
        <x14:conditionalFormatting xmlns:xm="http://schemas.microsoft.com/office/excel/2006/main">
          <x14:cfRule type="expression" priority="22" id="{E649FEA1-9FA7-49D8-B258-3F5411EE9602}">
            <xm:f>AND(計分版!$R$208=0,計分版!$T$196=0)</xm:f>
            <x14:dxf>
              <font>
                <color rgb="FF9C0006"/>
              </font>
              <fill>
                <patternFill>
                  <bgColor rgb="FFFFC7CE"/>
                </patternFill>
              </fill>
            </x14:dxf>
          </x14:cfRule>
          <xm:sqref>S41</xm:sqref>
        </x14:conditionalFormatting>
        <x14:conditionalFormatting xmlns:xm="http://schemas.microsoft.com/office/excel/2006/main">
          <x14:cfRule type="expression" priority="21" id="{9F8B4B3E-290E-41DC-921A-77177E054002}">
            <xm:f>計分版!$R$209=0</xm:f>
            <x14:dxf>
              <font>
                <color rgb="FF9C0006"/>
              </font>
              <fill>
                <patternFill>
                  <bgColor rgb="FFFFC7CE"/>
                </patternFill>
              </fill>
            </x14:dxf>
          </x14:cfRule>
          <xm:sqref>S42:S43</xm:sqref>
        </x14:conditionalFormatting>
        <x14:conditionalFormatting xmlns:xm="http://schemas.microsoft.com/office/excel/2006/main">
          <x14:cfRule type="expression" priority="20" id="{2D5B92E3-A4CA-4F8B-8F04-C43A1FF34AFC}">
            <xm:f>計分版!$R$193=0</xm:f>
            <x14:dxf>
              <font>
                <color rgb="FF9C0006"/>
              </font>
              <fill>
                <patternFill>
                  <bgColor rgb="FFFFC7CE"/>
                </patternFill>
              </fill>
            </x14:dxf>
          </x14:cfRule>
          <xm:sqref>S44</xm:sqref>
        </x14:conditionalFormatting>
        <x14:conditionalFormatting xmlns:xm="http://schemas.microsoft.com/office/excel/2006/main">
          <x14:cfRule type="expression" priority="19" id="{775FBE7B-7F08-4C08-9B07-51A0E167968A}">
            <xm:f>計分版!$R$210=0</xm:f>
            <x14:dxf>
              <font>
                <color rgb="FF9C0006"/>
              </font>
              <fill>
                <patternFill>
                  <bgColor rgb="FFFFC7CE"/>
                </patternFill>
              </fill>
            </x14:dxf>
          </x14:cfRule>
          <xm:sqref>S45</xm:sqref>
        </x14:conditionalFormatting>
        <x14:conditionalFormatting xmlns:xm="http://schemas.microsoft.com/office/excel/2006/main">
          <x14:cfRule type="expression" priority="18" id="{2F3B7D7A-0A4A-47FF-8101-C5B6A74F62E1}">
            <xm:f>計分版!$R$210=0</xm:f>
            <x14:dxf>
              <font>
                <color rgb="FF9C0006"/>
              </font>
              <fill>
                <patternFill>
                  <bgColor rgb="FFFFC7CE"/>
                </patternFill>
              </fill>
            </x14:dxf>
          </x14:cfRule>
          <xm:sqref>S46</xm:sqref>
        </x14:conditionalFormatting>
        <x14:conditionalFormatting xmlns:xm="http://schemas.microsoft.com/office/excel/2006/main">
          <x14:cfRule type="expression" priority="17" id="{1747A2F5-3FB5-4879-AAC3-FD8BA8A2DCCA}">
            <xm:f>計分版!$R$210=0</xm:f>
            <x14:dxf>
              <font>
                <color rgb="FF9C0006"/>
              </font>
              <fill>
                <patternFill>
                  <bgColor rgb="FFFFC7CE"/>
                </patternFill>
              </fill>
            </x14:dxf>
          </x14:cfRule>
          <xm:sqref>S47</xm:sqref>
        </x14:conditionalFormatting>
        <x14:conditionalFormatting xmlns:xm="http://schemas.microsoft.com/office/excel/2006/main">
          <x14:cfRule type="expression" priority="16" id="{B99FE2FA-9810-4BC0-9186-B39EBD98E7D6}">
            <xm:f>計分版!$R$210=0</xm:f>
            <x14:dxf>
              <font>
                <color rgb="FF9C0006"/>
              </font>
              <fill>
                <patternFill>
                  <bgColor rgb="FFFFC7CE"/>
                </patternFill>
              </fill>
            </x14:dxf>
          </x14:cfRule>
          <xm:sqref>S48</xm:sqref>
        </x14:conditionalFormatting>
        <x14:conditionalFormatting xmlns:xm="http://schemas.microsoft.com/office/excel/2006/main">
          <x14:cfRule type="expression" priority="1" id="{75C2E0A3-E8D0-4559-998B-F4FFC7ED2E62}">
            <xm:f>AND(計分版!$T$213=0,計分版!$E$7&gt;3)</xm:f>
            <x14:dxf>
              <font>
                <color rgb="FF9C5700"/>
              </font>
              <fill>
                <patternFill>
                  <bgColor rgb="FFFFEB9C"/>
                </patternFill>
              </fill>
            </x14:dxf>
          </x14:cfRule>
          <x14:cfRule type="expression" priority="2" id="{D95DBE08-F31F-4386-ABF0-660BA4C43C9A}">
            <xm:f>計分版!$T$213=0</xm:f>
            <x14:dxf>
              <font>
                <color rgb="FF9C0006"/>
              </font>
              <fill>
                <patternFill>
                  <bgColor rgb="FFFFC7CE"/>
                </patternFill>
              </fill>
            </x14:dxf>
          </x14:cfRule>
          <x14:cfRule type="cellIs" priority="14" operator="lessThan" id="{C6404B10-8C7F-4C6B-87E7-FA050A3AC123}">
            <xm:f>LARGE(計分版!$G$13:$L$13,1)</xm:f>
            <x14:dxf>
              <font>
                <color rgb="FF006100"/>
              </font>
              <fill>
                <patternFill>
                  <bgColor rgb="FFC6EFCE"/>
                </patternFill>
              </fill>
            </x14:dxf>
          </x14:cfRule>
          <x14:cfRule type="cellIs" priority="15" operator="greaterThan" id="{8C435BE0-A47C-4886-B63A-A1A6B2E7542B}">
            <xm:f>LARGE(計分版!$G$13:$L$13,1)</xm:f>
            <x14:dxf>
              <font>
                <color rgb="FF9C0006"/>
              </font>
              <fill>
                <patternFill>
                  <bgColor rgb="FFFFC7CE"/>
                </patternFill>
              </fill>
            </x14:dxf>
          </x14:cfRule>
          <xm:sqref>T37</xm:sqref>
        </x14:conditionalFormatting>
        <x14:conditionalFormatting xmlns:xm="http://schemas.microsoft.com/office/excel/2006/main">
          <x14:cfRule type="expression" priority="13" id="{532FEAEF-170C-4B20-86A7-46F5992CF7FD}">
            <xm:f>計分版!$R$193=0</xm:f>
            <x14:dxf>
              <font>
                <color rgb="FF9C0006"/>
              </font>
              <fill>
                <patternFill>
                  <bgColor rgb="FFFFC7CE"/>
                </patternFill>
              </fill>
            </x14:dxf>
          </x14:cfRule>
          <xm:sqref>S52</xm:sqref>
        </x14:conditionalFormatting>
        <x14:conditionalFormatting xmlns:xm="http://schemas.microsoft.com/office/excel/2006/main">
          <x14:cfRule type="expression" priority="12" id="{505E26BA-4AFA-4A4A-A671-5E7387450CF9}">
            <xm:f>計分版!$R$211=0</xm:f>
            <x14:dxf>
              <font>
                <color rgb="FF9C0006"/>
              </font>
              <fill>
                <patternFill>
                  <bgColor rgb="FFFFC7CE"/>
                </patternFill>
              </fill>
            </x14:dxf>
          </x14:cfRule>
          <xm:sqref>S37</xm:sqref>
        </x14:conditionalFormatting>
        <x14:conditionalFormatting xmlns:xm="http://schemas.microsoft.com/office/excel/2006/main">
          <x14:cfRule type="expression" priority="11" id="{A4564C0F-446D-41F6-8227-6EB910DC36CF}">
            <xm:f>計分版!$R$193=0</xm:f>
            <x14:dxf>
              <font>
                <color rgb="FF9C0006"/>
              </font>
              <fill>
                <patternFill>
                  <bgColor rgb="FFFFC7CE"/>
                </patternFill>
              </fill>
            </x14:dxf>
          </x14:cfRule>
          <xm:sqref>S50</xm:sqref>
        </x14:conditionalFormatting>
        <x14:conditionalFormatting xmlns:xm="http://schemas.microsoft.com/office/excel/2006/main">
          <x14:cfRule type="expression" priority="4" id="{6D8244BF-ADFE-4D22-8D18-4F1758108114}">
            <xm:f>計分版!$R$212=0</xm:f>
            <x14:dxf>
              <font>
                <color rgb="FF9C0006"/>
              </font>
              <fill>
                <patternFill>
                  <bgColor rgb="FFFFC7CE"/>
                </patternFill>
              </fill>
            </x14:dxf>
          </x14:cfRule>
          <x14:cfRule type="cellIs" priority="9" operator="lessThan" id="{D2C0563A-D625-4AC5-B83D-682366DAE322}">
            <xm:f>LARGE(計分版!$G$13:$L$13,1)</xm:f>
            <x14:dxf>
              <font>
                <color rgb="FF006100"/>
              </font>
              <fill>
                <patternFill>
                  <bgColor rgb="FFC6EFCE"/>
                </patternFill>
              </fill>
            </x14:dxf>
          </x14:cfRule>
          <x14:cfRule type="cellIs" priority="10" operator="greaterThan" id="{13BC57D3-D6BA-4D23-A09D-F9DDC58D6E6C}">
            <xm:f>LARGE(計分版!$G$13:$L$13,1)</xm:f>
            <x14:dxf>
              <font>
                <color rgb="FF9C0006"/>
              </font>
              <fill>
                <patternFill>
                  <bgColor rgb="FFFFC7CE"/>
                </patternFill>
              </fill>
            </x14:dxf>
          </x14:cfRule>
          <xm:sqref>T50:T52</xm:sqref>
        </x14:conditionalFormatting>
        <x14:conditionalFormatting xmlns:xm="http://schemas.microsoft.com/office/excel/2006/main">
          <x14:cfRule type="cellIs" priority="7" operator="lessThan" id="{B74E9971-8245-4AA3-9C0F-267AF9DE3715}">
            <xm:f>LARGE(計分版!$G$13:$L$13,1)</xm:f>
            <x14:dxf>
              <font>
                <color rgb="FF006100"/>
              </font>
              <fill>
                <patternFill>
                  <bgColor rgb="FFC6EFCE"/>
                </patternFill>
              </fill>
            </x14:dxf>
          </x14:cfRule>
          <x14:cfRule type="cellIs" priority="8" operator="greaterThan" id="{B3425A60-271C-4C58-AF90-836C0ED57B75}">
            <xm:f>LARGE(計分版!$G$13:$L$13,1)</xm:f>
            <x14:dxf>
              <font>
                <color rgb="FF9C0006"/>
              </font>
              <fill>
                <patternFill>
                  <bgColor rgb="FFFFC7CE"/>
                </patternFill>
              </fill>
            </x14:dxf>
          </x14:cfRule>
          <xm:sqref>S51</xm:sqref>
        </x14:conditionalFormatting>
        <x14:conditionalFormatting xmlns:xm="http://schemas.microsoft.com/office/excel/2006/main">
          <x14:cfRule type="expression" priority="5" id="{EAA72DEB-E766-40A9-B6E9-D773F3C90A7F}">
            <xm:f>計分版!$R$199=0</xm:f>
            <x14:dxf>
              <font>
                <color rgb="FF9C0006"/>
              </font>
              <fill>
                <patternFill>
                  <bgColor rgb="FFFFC7CE"/>
                </patternFill>
              </fill>
            </x14:dxf>
          </x14:cfRule>
          <xm:sqref>S49:T49</xm:sqref>
        </x14:conditionalFormatting>
        <x14:conditionalFormatting xmlns:xm="http://schemas.microsoft.com/office/excel/2006/main">
          <x14:cfRule type="expression" priority="3" id="{F41F3B44-4187-41B4-9B65-04F220C6A270}">
            <xm:f>計分版!$R$213=0</xm:f>
            <x14:dxf>
              <font>
                <color rgb="FF9C0006"/>
              </font>
              <fill>
                <patternFill>
                  <bgColor rgb="FFFFC7CE"/>
                </patternFill>
              </fill>
            </x14:dxf>
          </x14:cfRule>
          <xm:sqref>S40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7E1D717-2818-4366-8D56-D49424CC1519}">
          <x14:formula1>
            <xm:f>選單!$I$2:$I$3</xm:f>
          </x14:formula1>
          <xm:sqref>I1:J1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4349B-F98C-4A31-BF2B-F6906CD01210}">
  <dimension ref="A1:Z55"/>
  <sheetViews>
    <sheetView zoomScaleNormal="100" workbookViewId="0">
      <selection activeCell="E12" sqref="E12"/>
    </sheetView>
  </sheetViews>
  <sheetFormatPr defaultColWidth="0" defaultRowHeight="16.5" customHeight="1" zeroHeight="1"/>
  <cols>
    <col min="1" max="1" width="8.625" style="19" customWidth="1"/>
    <col min="2" max="2" width="9.875" style="19" customWidth="1"/>
    <col min="3" max="3" width="22.875" style="19" customWidth="1"/>
    <col min="4" max="4" width="18" style="19" hidden="1" customWidth="1"/>
    <col min="5" max="5" width="8.875" style="64" customWidth="1"/>
    <col min="6" max="6" width="8.875" style="47" hidden="1" customWidth="1"/>
    <col min="7" max="7" width="7.25" style="19" customWidth="1"/>
    <col min="8" max="8" width="7.875" style="19" customWidth="1"/>
    <col min="9" max="9" width="7.25" style="19" customWidth="1"/>
    <col min="10" max="10" width="8.375" style="19" customWidth="1"/>
    <col min="11" max="11" width="9.5" style="19" customWidth="1"/>
    <col min="12" max="12" width="5" style="178" customWidth="1"/>
    <col min="13" max="13" width="4.625" style="19" hidden="1" customWidth="1"/>
    <col min="14" max="14" width="4" style="19" customWidth="1"/>
    <col min="15" max="15" width="8.875" style="19" customWidth="1"/>
    <col min="16" max="21" width="2.75" style="19" customWidth="1"/>
    <col min="22" max="26" width="8.875" style="19" customWidth="1"/>
    <col min="27" max="16384" width="8.875" style="19" hidden="1"/>
  </cols>
  <sheetData>
    <row r="1" spans="1:21" s="183" customFormat="1" ht="16.5" customHeight="1">
      <c r="A1" s="183" t="s">
        <v>228</v>
      </c>
      <c r="B1" s="183" t="s">
        <v>325</v>
      </c>
      <c r="C1" s="183" t="s">
        <v>400</v>
      </c>
      <c r="E1" s="184" t="s">
        <v>229</v>
      </c>
      <c r="F1" s="185" t="s">
        <v>867</v>
      </c>
      <c r="G1" s="185" t="s">
        <v>327</v>
      </c>
      <c r="H1" s="185" t="s">
        <v>328</v>
      </c>
      <c r="I1" s="185" t="s">
        <v>230</v>
      </c>
      <c r="J1" s="311" t="s">
        <v>396</v>
      </c>
      <c r="K1" s="311"/>
      <c r="L1" s="185" t="s">
        <v>394</v>
      </c>
      <c r="M1" s="186" t="s">
        <v>436</v>
      </c>
      <c r="N1" s="183" t="s">
        <v>414</v>
      </c>
      <c r="O1" s="185" t="s">
        <v>415</v>
      </c>
      <c r="P1" s="185" t="s">
        <v>405</v>
      </c>
      <c r="Q1" s="185" t="s">
        <v>406</v>
      </c>
      <c r="R1" s="185" t="s">
        <v>407</v>
      </c>
      <c r="S1" s="185" t="s">
        <v>408</v>
      </c>
      <c r="T1" s="185" t="s">
        <v>409</v>
      </c>
      <c r="U1" s="185" t="s">
        <v>410</v>
      </c>
    </row>
    <row r="2" spans="1:21" ht="18" customHeight="1">
      <c r="A2" s="19" t="s">
        <v>1037</v>
      </c>
      <c r="B2" s="19" t="s">
        <v>314</v>
      </c>
      <c r="C2" s="19" t="s">
        <v>242</v>
      </c>
      <c r="D2" s="19" t="s">
        <v>1066</v>
      </c>
      <c r="E2" s="64" t="s">
        <v>1130</v>
      </c>
      <c r="F2" s="47">
        <v>21.71</v>
      </c>
      <c r="G2" s="21">
        <f>5+4+4+4+5</f>
        <v>22</v>
      </c>
      <c r="H2" s="21">
        <f>6+3+2+5+5</f>
        <v>21</v>
      </c>
      <c r="I2" s="228">
        <f>計分版!D304</f>
        <v>1.9500000000000001E-9</v>
      </c>
      <c r="J2" s="91">
        <f>IF(J$1="差距(Median)",I2-G2,IF(J$1="差距(LQ)",I2-H2))</f>
        <v>-21.999999998050001</v>
      </c>
      <c r="K2" s="92">
        <f>IF(J$1="差距(Median)",(I2-G2)/I2,IF(J$1="差距(LQ)",(I2-H2)/I2))</f>
        <v>-11282051281.051281</v>
      </c>
      <c r="L2" s="178">
        <v>56</v>
      </c>
      <c r="M2" s="93"/>
      <c r="N2" s="24">
        <f>入學要求!S289</f>
        <v>0</v>
      </c>
      <c r="O2" s="94" t="s">
        <v>416</v>
      </c>
      <c r="P2" s="179">
        <v>3</v>
      </c>
      <c r="Q2" s="179">
        <v>3</v>
      </c>
      <c r="R2" s="179">
        <v>2</v>
      </c>
      <c r="S2" s="179">
        <v>2</v>
      </c>
      <c r="T2" s="179">
        <v>3</v>
      </c>
      <c r="U2" s="179">
        <v>3</v>
      </c>
    </row>
    <row r="3" spans="1:21" s="187" customFormat="1" ht="18" customHeight="1">
      <c r="A3" s="187" t="s">
        <v>1038</v>
      </c>
      <c r="B3" s="187" t="s">
        <v>314</v>
      </c>
      <c r="C3" s="187" t="s">
        <v>1067</v>
      </c>
      <c r="D3" s="187" t="s">
        <v>1068</v>
      </c>
      <c r="E3" s="312" t="s">
        <v>220</v>
      </c>
      <c r="F3" s="35" t="s">
        <v>393</v>
      </c>
      <c r="G3" s="313" t="s">
        <v>393</v>
      </c>
      <c r="H3" s="313"/>
      <c r="I3" s="229">
        <f>計分版!D305</f>
        <v>2.8499999999999999E-9</v>
      </c>
      <c r="J3" s="189" t="s">
        <v>393</v>
      </c>
      <c r="K3" s="189" t="s">
        <v>393</v>
      </c>
      <c r="L3" s="188">
        <v>18</v>
      </c>
      <c r="M3" s="190"/>
      <c r="N3" s="191">
        <f>入學要求!S290</f>
        <v>0</v>
      </c>
      <c r="O3" s="192" t="s">
        <v>416</v>
      </c>
      <c r="P3" s="179">
        <v>3</v>
      </c>
      <c r="Q3" s="179">
        <v>3</v>
      </c>
      <c r="R3" s="179">
        <v>2</v>
      </c>
      <c r="S3" s="179">
        <v>2</v>
      </c>
      <c r="T3" s="179">
        <v>3</v>
      </c>
      <c r="U3" s="179">
        <v>3</v>
      </c>
    </row>
    <row r="4" spans="1:21" ht="18" customHeight="1">
      <c r="A4" s="19" t="s">
        <v>1039</v>
      </c>
      <c r="B4" s="19" t="s">
        <v>314</v>
      </c>
      <c r="C4" s="19" t="s">
        <v>1069</v>
      </c>
      <c r="D4" s="19" t="s">
        <v>1070</v>
      </c>
      <c r="E4" s="312"/>
      <c r="F4" s="35"/>
      <c r="G4" s="313"/>
      <c r="H4" s="313"/>
      <c r="I4" s="228">
        <f>計分版!D306</f>
        <v>2.8499999999999999E-9</v>
      </c>
      <c r="J4" s="159" t="s">
        <v>393</v>
      </c>
      <c r="K4" s="159" t="s">
        <v>393</v>
      </c>
      <c r="L4" s="178">
        <v>14</v>
      </c>
      <c r="M4" s="93"/>
      <c r="N4" s="24">
        <f>入學要求!S291</f>
        <v>0</v>
      </c>
      <c r="O4" s="94" t="s">
        <v>416</v>
      </c>
      <c r="P4" s="179">
        <v>3</v>
      </c>
      <c r="Q4" s="179">
        <v>3</v>
      </c>
      <c r="R4" s="179">
        <v>2</v>
      </c>
      <c r="S4" s="179">
        <v>2</v>
      </c>
      <c r="T4" s="179">
        <v>3</v>
      </c>
      <c r="U4" s="179">
        <v>3</v>
      </c>
    </row>
    <row r="5" spans="1:21" s="187" customFormat="1" ht="18" customHeight="1">
      <c r="A5" s="187" t="s">
        <v>1040</v>
      </c>
      <c r="B5" s="187" t="s">
        <v>314</v>
      </c>
      <c r="C5" s="187" t="s">
        <v>1071</v>
      </c>
      <c r="D5" s="187" t="s">
        <v>1072</v>
      </c>
      <c r="E5" s="312"/>
      <c r="F5" s="35"/>
      <c r="G5" s="313"/>
      <c r="H5" s="313"/>
      <c r="I5" s="229">
        <f>計分版!D307</f>
        <v>2.8499999999999999E-9</v>
      </c>
      <c r="J5" s="189" t="s">
        <v>393</v>
      </c>
      <c r="K5" s="189" t="s">
        <v>393</v>
      </c>
      <c r="L5" s="188">
        <v>14</v>
      </c>
      <c r="M5" s="190"/>
      <c r="N5" s="191">
        <f>入學要求!S292</f>
        <v>0</v>
      </c>
      <c r="O5" s="193" t="s">
        <v>416</v>
      </c>
      <c r="P5" s="179">
        <v>3</v>
      </c>
      <c r="Q5" s="179">
        <v>3</v>
      </c>
      <c r="R5" s="179">
        <v>2</v>
      </c>
      <c r="S5" s="179">
        <v>2</v>
      </c>
      <c r="T5" s="179">
        <v>3</v>
      </c>
      <c r="U5" s="179">
        <v>3</v>
      </c>
    </row>
    <row r="6" spans="1:21" ht="18" customHeight="1">
      <c r="A6" s="19" t="s">
        <v>1041</v>
      </c>
      <c r="B6" s="19" t="s">
        <v>1014</v>
      </c>
      <c r="C6" s="19" t="s">
        <v>1073</v>
      </c>
      <c r="D6" s="19" t="s">
        <v>1074</v>
      </c>
      <c r="E6" s="312"/>
      <c r="F6" s="35"/>
      <c r="G6" s="313"/>
      <c r="H6" s="313"/>
      <c r="I6" s="228">
        <f>計分版!D308</f>
        <v>2.8499999999999999E-9</v>
      </c>
      <c r="J6" s="159" t="s">
        <v>393</v>
      </c>
      <c r="K6" s="159" t="s">
        <v>393</v>
      </c>
      <c r="L6" s="178">
        <v>14</v>
      </c>
      <c r="M6" s="93"/>
      <c r="N6" s="24">
        <f>入學要求!S293</f>
        <v>0</v>
      </c>
      <c r="O6" s="94" t="s">
        <v>416</v>
      </c>
      <c r="P6" s="179">
        <v>3</v>
      </c>
      <c r="Q6" s="179">
        <v>3</v>
      </c>
      <c r="R6" s="179">
        <v>2</v>
      </c>
      <c r="S6" s="179">
        <v>2</v>
      </c>
      <c r="T6" s="179">
        <v>3</v>
      </c>
      <c r="U6" s="179">
        <v>3</v>
      </c>
    </row>
    <row r="7" spans="1:21" s="187" customFormat="1" ht="18" customHeight="1">
      <c r="A7" s="187" t="s">
        <v>1042</v>
      </c>
      <c r="B7" s="187" t="s">
        <v>314</v>
      </c>
      <c r="C7" s="187" t="s">
        <v>1075</v>
      </c>
      <c r="D7" s="187" t="s">
        <v>1076</v>
      </c>
      <c r="E7" s="312"/>
      <c r="F7" s="35"/>
      <c r="G7" s="313"/>
      <c r="H7" s="313"/>
      <c r="I7" s="229">
        <f>計分版!D309</f>
        <v>2.8499999999999999E-9</v>
      </c>
      <c r="J7" s="189" t="s">
        <v>393</v>
      </c>
      <c r="K7" s="189" t="s">
        <v>393</v>
      </c>
      <c r="L7" s="188">
        <v>10</v>
      </c>
      <c r="M7" s="190"/>
      <c r="N7" s="191">
        <f>入學要求!S294</f>
        <v>0</v>
      </c>
      <c r="O7" s="192" t="s">
        <v>416</v>
      </c>
      <c r="P7" s="179">
        <v>3</v>
      </c>
      <c r="Q7" s="179">
        <v>3</v>
      </c>
      <c r="R7" s="179">
        <v>2</v>
      </c>
      <c r="S7" s="179">
        <v>2</v>
      </c>
      <c r="T7" s="179">
        <v>3</v>
      </c>
      <c r="U7" s="179">
        <v>3</v>
      </c>
    </row>
    <row r="8" spans="1:21" ht="18" customHeight="1">
      <c r="A8" s="19" t="s">
        <v>1043</v>
      </c>
      <c r="B8" s="19" t="s">
        <v>314</v>
      </c>
      <c r="C8" s="19" t="s">
        <v>1077</v>
      </c>
      <c r="D8" s="19" t="s">
        <v>1078</v>
      </c>
      <c r="E8" s="312"/>
      <c r="F8" s="35"/>
      <c r="G8" s="313"/>
      <c r="H8" s="313"/>
      <c r="I8" s="228">
        <f>計分版!D310</f>
        <v>2.8499999999999999E-9</v>
      </c>
      <c r="J8" s="159" t="s">
        <v>393</v>
      </c>
      <c r="K8" s="159" t="s">
        <v>393</v>
      </c>
      <c r="L8" s="178">
        <v>14</v>
      </c>
      <c r="M8" s="93"/>
      <c r="N8" s="24">
        <f>入學要求!S295</f>
        <v>0</v>
      </c>
      <c r="O8" s="47" t="s">
        <v>416</v>
      </c>
      <c r="P8" s="179">
        <v>3</v>
      </c>
      <c r="Q8" s="179">
        <v>3</v>
      </c>
      <c r="R8" s="179">
        <v>2</v>
      </c>
      <c r="S8" s="179">
        <v>2</v>
      </c>
      <c r="T8" s="179">
        <v>3</v>
      </c>
      <c r="U8" s="179">
        <v>3</v>
      </c>
    </row>
    <row r="9" spans="1:21" s="187" customFormat="1" ht="18" customHeight="1">
      <c r="A9" s="187" t="s">
        <v>1044</v>
      </c>
      <c r="B9" s="187" t="s">
        <v>314</v>
      </c>
      <c r="C9" s="187" t="s">
        <v>1079</v>
      </c>
      <c r="D9" s="187" t="s">
        <v>1080</v>
      </c>
      <c r="E9" s="194" t="s">
        <v>1130</v>
      </c>
      <c r="F9" s="192">
        <v>21.57</v>
      </c>
      <c r="G9" s="195">
        <f>4+4+4+5+5</f>
        <v>22</v>
      </c>
      <c r="H9" s="195">
        <f>4+4+4+4+5</f>
        <v>21</v>
      </c>
      <c r="I9" s="229">
        <f>計分版!D311</f>
        <v>1.9500000000000001E-9</v>
      </c>
      <c r="J9" s="196">
        <f t="shared" ref="J9:J30" si="0">IF(J$1="差距(Median)",I9-G9,IF(J$1="差距(LQ)",I9-H9))</f>
        <v>-21.999999998050001</v>
      </c>
      <c r="K9" s="197">
        <f>IF(J$1="差距(Median)",(I9-G9)/I9,IF(J$1="差距(LQ)",(I9-H9)/I9))</f>
        <v>-11282051281.051281</v>
      </c>
      <c r="L9" s="188">
        <v>28</v>
      </c>
      <c r="M9" s="190"/>
      <c r="N9" s="191">
        <f>入學要求!S296</f>
        <v>0</v>
      </c>
      <c r="O9" s="192" t="s">
        <v>417</v>
      </c>
      <c r="P9" s="179">
        <v>3</v>
      </c>
      <c r="Q9" s="179">
        <v>3</v>
      </c>
      <c r="R9" s="179">
        <v>2</v>
      </c>
      <c r="S9" s="179">
        <v>2</v>
      </c>
      <c r="T9" s="179">
        <v>3</v>
      </c>
      <c r="U9" s="179">
        <v>3</v>
      </c>
    </row>
    <row r="10" spans="1:21" ht="18" customHeight="1">
      <c r="A10" s="19" t="s">
        <v>1045</v>
      </c>
      <c r="B10" s="19" t="s">
        <v>1144</v>
      </c>
      <c r="C10" s="19" t="s">
        <v>1081</v>
      </c>
      <c r="D10" s="19" t="s">
        <v>1082</v>
      </c>
      <c r="E10" s="64" t="s">
        <v>1130</v>
      </c>
      <c r="F10" s="47">
        <v>20.94</v>
      </c>
      <c r="G10" s="21">
        <f>4*1.5+5*2+4*1.5+4*1.5+4*2</f>
        <v>36</v>
      </c>
      <c r="H10" s="21">
        <f>4*1.5+5*2+4*1.5+3*1.5+4*2</f>
        <v>34.5</v>
      </c>
      <c r="I10" s="228">
        <f>計分版!D312</f>
        <v>2.5499999999999997E-9</v>
      </c>
      <c r="J10" s="91">
        <f t="shared" si="0"/>
        <v>-35.999999997449997</v>
      </c>
      <c r="K10" s="92">
        <f t="shared" ref="K10:K30" si="1">IF(J$1="差距(Median)",(I10-G10)/I10,IF(J$1="差距(LQ)",(I10-H10)/I10))</f>
        <v>-14117647057.82353</v>
      </c>
      <c r="L10" s="178">
        <v>40</v>
      </c>
      <c r="M10" s="93"/>
      <c r="N10" s="24">
        <f>入學要求!S297</f>
        <v>0</v>
      </c>
      <c r="O10" s="47" t="s">
        <v>417</v>
      </c>
      <c r="P10" s="179">
        <v>3</v>
      </c>
      <c r="Q10" s="179">
        <v>3</v>
      </c>
      <c r="R10" s="179">
        <v>2</v>
      </c>
      <c r="S10" s="179">
        <v>2</v>
      </c>
      <c r="T10" s="179">
        <v>3</v>
      </c>
      <c r="U10" s="179">
        <v>3</v>
      </c>
    </row>
    <row r="11" spans="1:21" s="187" customFormat="1" ht="18" customHeight="1">
      <c r="A11" s="187" t="s">
        <v>1046</v>
      </c>
      <c r="B11" s="187" t="s">
        <v>314</v>
      </c>
      <c r="C11" s="187" t="s">
        <v>1083</v>
      </c>
      <c r="D11" s="187" t="s">
        <v>1084</v>
      </c>
      <c r="E11" s="194" t="s">
        <v>1130</v>
      </c>
      <c r="F11" s="192">
        <v>20.71</v>
      </c>
      <c r="G11" s="195">
        <f>4+4+5+4+5</f>
        <v>22</v>
      </c>
      <c r="H11" s="195">
        <f>4+5+4+5+4</f>
        <v>22</v>
      </c>
      <c r="I11" s="229">
        <f>計分版!D313</f>
        <v>1.9500000000000001E-9</v>
      </c>
      <c r="J11" s="196">
        <f t="shared" ref="J11:J15" si="2">IF(J$1="差距(Median)",I11-G11,IF(J$1="差距(LQ)",I11-H11))</f>
        <v>-21.999999998050001</v>
      </c>
      <c r="K11" s="197">
        <f t="shared" ref="K11:K15" si="3">IF(J$1="差距(Median)",(I11-G11)/I11,IF(J$1="差距(LQ)",(I11-H11)/I11))</f>
        <v>-11282051281.051281</v>
      </c>
      <c r="L11" s="188">
        <v>15</v>
      </c>
      <c r="M11" s="190"/>
      <c r="N11" s="191">
        <f>入學要求!S298</f>
        <v>0</v>
      </c>
      <c r="O11" s="192" t="s">
        <v>417</v>
      </c>
      <c r="P11" s="179">
        <v>3</v>
      </c>
      <c r="Q11" s="179">
        <v>3</v>
      </c>
      <c r="R11" s="179">
        <v>2</v>
      </c>
      <c r="S11" s="179">
        <v>2</v>
      </c>
      <c r="T11" s="179">
        <v>3</v>
      </c>
      <c r="U11" s="179">
        <v>3</v>
      </c>
    </row>
    <row r="12" spans="1:21" ht="18" customHeight="1">
      <c r="A12" s="19" t="s">
        <v>1047</v>
      </c>
      <c r="B12" s="19" t="s">
        <v>870</v>
      </c>
      <c r="C12" s="19" t="s">
        <v>1085</v>
      </c>
      <c r="D12" s="19" t="s">
        <v>1086</v>
      </c>
      <c r="E12" s="64" t="s">
        <v>1134</v>
      </c>
      <c r="F12" s="47">
        <v>24.03</v>
      </c>
      <c r="G12" s="21">
        <f>4+4*1.5+4+4+4+4</f>
        <v>26</v>
      </c>
      <c r="H12" s="21">
        <f>3+3*1.5+5+4+5+4</f>
        <v>25.5</v>
      </c>
      <c r="I12" s="228">
        <f>計分版!D314</f>
        <v>2.9499999999999999E-9</v>
      </c>
      <c r="J12" s="91">
        <f t="shared" si="2"/>
        <v>-25.999999997050001</v>
      </c>
      <c r="K12" s="92">
        <f t="shared" si="3"/>
        <v>-8813559321.0338993</v>
      </c>
      <c r="L12" s="178">
        <v>50</v>
      </c>
      <c r="M12" s="93"/>
      <c r="N12" s="24">
        <f>入學要求!S299</f>
        <v>0</v>
      </c>
      <c r="O12" s="47" t="s">
        <v>416</v>
      </c>
      <c r="P12" s="179">
        <v>3</v>
      </c>
      <c r="Q12" s="179">
        <v>3</v>
      </c>
      <c r="R12" s="179">
        <v>2</v>
      </c>
      <c r="S12" s="179">
        <v>2</v>
      </c>
      <c r="T12" s="179">
        <v>3</v>
      </c>
      <c r="U12" s="179">
        <v>3</v>
      </c>
    </row>
    <row r="13" spans="1:21" s="187" customFormat="1" ht="18" customHeight="1">
      <c r="A13" s="187" t="s">
        <v>1048</v>
      </c>
      <c r="B13" s="187" t="s">
        <v>870</v>
      </c>
      <c r="C13" s="187" t="s">
        <v>1087</v>
      </c>
      <c r="D13" s="187" t="s">
        <v>1088</v>
      </c>
      <c r="E13" s="194" t="s">
        <v>1134</v>
      </c>
      <c r="F13" s="192">
        <v>24.05</v>
      </c>
      <c r="G13" s="195">
        <f>4+4*1.5+4+3+5+4</f>
        <v>26</v>
      </c>
      <c r="H13" s="195">
        <f>4+4*1.5+4+4+4+4</f>
        <v>26</v>
      </c>
      <c r="I13" s="229">
        <f>計分版!D315</f>
        <v>2.9499999999999999E-9</v>
      </c>
      <c r="J13" s="196">
        <f t="shared" si="2"/>
        <v>-25.999999997050001</v>
      </c>
      <c r="K13" s="197">
        <f t="shared" si="3"/>
        <v>-8813559321.0338993</v>
      </c>
      <c r="L13" s="188">
        <v>193</v>
      </c>
      <c r="M13" s="190"/>
      <c r="N13" s="191">
        <f>入學要求!S300</f>
        <v>0</v>
      </c>
      <c r="O13" s="192" t="s">
        <v>416</v>
      </c>
      <c r="P13" s="179">
        <v>3</v>
      </c>
      <c r="Q13" s="179">
        <v>3</v>
      </c>
      <c r="R13" s="179">
        <v>2</v>
      </c>
      <c r="S13" s="179">
        <v>2</v>
      </c>
      <c r="T13" s="179">
        <v>3</v>
      </c>
      <c r="U13" s="179">
        <v>3</v>
      </c>
    </row>
    <row r="14" spans="1:21" ht="18" customHeight="1">
      <c r="A14" s="19" t="s">
        <v>1049</v>
      </c>
      <c r="B14" s="19" t="s">
        <v>1537</v>
      </c>
      <c r="C14" s="19" t="s">
        <v>1089</v>
      </c>
      <c r="D14" s="19" t="s">
        <v>1090</v>
      </c>
      <c r="E14" s="64" t="s">
        <v>1132</v>
      </c>
      <c r="F14" s="47">
        <v>26.74</v>
      </c>
      <c r="G14" s="21">
        <f>6*1.25+4*1.25+5+4+4+3</f>
        <v>28.5</v>
      </c>
      <c r="H14" s="21">
        <f>5*1.25+3*1.25+5+5+4+4</f>
        <v>28</v>
      </c>
      <c r="I14" s="228">
        <f>計分版!D316</f>
        <v>2.9249999999999997E-9</v>
      </c>
      <c r="J14" s="91">
        <f t="shared" si="2"/>
        <v>-28.499999997075001</v>
      </c>
      <c r="K14" s="92">
        <f t="shared" si="3"/>
        <v>-9743589742.5897446</v>
      </c>
      <c r="L14" s="178">
        <v>82</v>
      </c>
      <c r="M14" s="93"/>
      <c r="N14" s="24">
        <f>入學要求!S301</f>
        <v>0</v>
      </c>
      <c r="O14" s="47" t="s">
        <v>416</v>
      </c>
      <c r="P14" s="179">
        <v>3</v>
      </c>
      <c r="Q14" s="179">
        <v>3</v>
      </c>
      <c r="R14" s="179">
        <v>2</v>
      </c>
      <c r="S14" s="179">
        <v>2</v>
      </c>
      <c r="T14" s="179">
        <v>3</v>
      </c>
      <c r="U14" s="179">
        <v>3</v>
      </c>
    </row>
    <row r="15" spans="1:21" s="187" customFormat="1" ht="18" customHeight="1">
      <c r="A15" s="187" t="s">
        <v>1050</v>
      </c>
      <c r="B15" s="187" t="s">
        <v>1122</v>
      </c>
      <c r="C15" s="187" t="s">
        <v>1091</v>
      </c>
      <c r="D15" s="187" t="s">
        <v>1092</v>
      </c>
      <c r="E15" s="194" t="s">
        <v>1132</v>
      </c>
      <c r="F15" s="192">
        <v>23.5</v>
      </c>
      <c r="G15" s="195">
        <f>4*1.25+3*1.25+4+5+4+4</f>
        <v>25.75</v>
      </c>
      <c r="H15" s="195">
        <f>4*1.25+4*1.25+3+4+4+4</f>
        <v>25</v>
      </c>
      <c r="I15" s="229">
        <f>計分版!D317</f>
        <v>2.9249999999999997E-9</v>
      </c>
      <c r="J15" s="196">
        <f t="shared" si="2"/>
        <v>-25.749999997075001</v>
      </c>
      <c r="K15" s="197">
        <f t="shared" si="3"/>
        <v>-8803418802.4188042</v>
      </c>
      <c r="L15" s="188">
        <v>12</v>
      </c>
      <c r="M15" s="190"/>
      <c r="N15" s="191">
        <f>入學要求!S302</f>
        <v>0</v>
      </c>
      <c r="O15" s="192" t="s">
        <v>417</v>
      </c>
      <c r="P15" s="179">
        <v>3</v>
      </c>
      <c r="Q15" s="179">
        <v>3</v>
      </c>
      <c r="R15" s="179">
        <v>2</v>
      </c>
      <c r="S15" s="179">
        <v>2</v>
      </c>
      <c r="T15" s="179">
        <v>3</v>
      </c>
      <c r="U15" s="179">
        <v>3</v>
      </c>
    </row>
    <row r="16" spans="1:21" ht="18" customHeight="1">
      <c r="A16" s="19" t="s">
        <v>1051</v>
      </c>
      <c r="B16" s="19" t="s">
        <v>1122</v>
      </c>
      <c r="C16" s="19" t="s">
        <v>1093</v>
      </c>
      <c r="D16" s="19" t="s">
        <v>1094</v>
      </c>
      <c r="E16" s="64" t="s">
        <v>1132</v>
      </c>
      <c r="F16" s="47">
        <v>24.93</v>
      </c>
      <c r="G16" s="21">
        <f>4*1.25+4*1.25+5+4+4+4</f>
        <v>27</v>
      </c>
      <c r="H16" s="21">
        <f>3*1.25+3*1.25+4+4+6+3</f>
        <v>24.5</v>
      </c>
      <c r="I16" s="228">
        <f>計分版!D318</f>
        <v>2.9249999999999997E-9</v>
      </c>
      <c r="J16" s="91">
        <f t="shared" si="0"/>
        <v>-26.999999997075001</v>
      </c>
      <c r="K16" s="92">
        <f t="shared" si="1"/>
        <v>-9230769229.7692318</v>
      </c>
      <c r="L16" s="178">
        <v>20</v>
      </c>
      <c r="M16" s="93"/>
      <c r="N16" s="24">
        <f>入學要求!S303</f>
        <v>0</v>
      </c>
      <c r="O16" s="47" t="s">
        <v>417</v>
      </c>
      <c r="P16" s="179">
        <v>3</v>
      </c>
      <c r="Q16" s="179">
        <v>3</v>
      </c>
      <c r="R16" s="179">
        <v>2</v>
      </c>
      <c r="S16" s="179">
        <v>2</v>
      </c>
      <c r="T16" s="179">
        <v>3</v>
      </c>
      <c r="U16" s="179">
        <v>3</v>
      </c>
    </row>
    <row r="17" spans="1:21" s="187" customFormat="1" ht="18" customHeight="1">
      <c r="A17" s="187" t="s">
        <v>1052</v>
      </c>
      <c r="B17" s="187" t="s">
        <v>1122</v>
      </c>
      <c r="C17" s="187" t="s">
        <v>1095</v>
      </c>
      <c r="D17" s="187" t="s">
        <v>1096</v>
      </c>
      <c r="E17" s="194" t="s">
        <v>82</v>
      </c>
      <c r="F17" s="192"/>
      <c r="G17" s="195" t="s">
        <v>393</v>
      </c>
      <c r="H17" s="195" t="s">
        <v>393</v>
      </c>
      <c r="I17" s="229">
        <f>計分版!D319</f>
        <v>3.9500000000000006E-9</v>
      </c>
      <c r="J17" s="189" t="s">
        <v>393</v>
      </c>
      <c r="K17" s="189" t="s">
        <v>393</v>
      </c>
      <c r="L17" s="188">
        <v>8</v>
      </c>
      <c r="M17" s="190"/>
      <c r="N17" s="191">
        <f>入學要求!S304</f>
        <v>0</v>
      </c>
      <c r="O17" s="192" t="s">
        <v>1359</v>
      </c>
      <c r="P17" s="179">
        <v>3</v>
      </c>
      <c r="Q17" s="179">
        <v>3</v>
      </c>
      <c r="R17" s="179">
        <v>2</v>
      </c>
      <c r="S17" s="179">
        <v>2</v>
      </c>
      <c r="T17" s="179">
        <v>3</v>
      </c>
      <c r="U17" s="179">
        <v>3</v>
      </c>
    </row>
    <row r="18" spans="1:21" ht="18" customHeight="1">
      <c r="A18" s="19" t="s">
        <v>1053</v>
      </c>
      <c r="B18" s="19" t="s">
        <v>1127</v>
      </c>
      <c r="C18" s="19" t="s">
        <v>1097</v>
      </c>
      <c r="D18" s="19" t="s">
        <v>1098</v>
      </c>
      <c r="E18" s="64" t="s">
        <v>1132</v>
      </c>
      <c r="F18" s="47">
        <v>29.65</v>
      </c>
      <c r="G18" s="21">
        <f>5*1.5+4*1.5+6*1.25+4+6*1.5+5*1.25</f>
        <v>40.25</v>
      </c>
      <c r="H18" s="21">
        <f>6*1.5+4*1.5+5*1.25+4+6*1.5+4*1.25</f>
        <v>39.25</v>
      </c>
      <c r="I18" s="228">
        <f>計分版!D320</f>
        <v>2.8500000000000003E-9</v>
      </c>
      <c r="J18" s="91">
        <f t="shared" si="0"/>
        <v>-40.249999997149999</v>
      </c>
      <c r="K18" s="92">
        <f t="shared" si="1"/>
        <v>-14122807016.543858</v>
      </c>
      <c r="L18" s="178">
        <v>30</v>
      </c>
      <c r="M18" s="93"/>
      <c r="N18" s="24">
        <f>入學要求!S305</f>
        <v>0</v>
      </c>
      <c r="O18" s="47" t="s">
        <v>417</v>
      </c>
      <c r="P18" s="179">
        <v>3</v>
      </c>
      <c r="Q18" s="179">
        <v>3</v>
      </c>
      <c r="R18" s="179">
        <v>2</v>
      </c>
      <c r="S18" s="179">
        <v>2</v>
      </c>
      <c r="T18" s="48">
        <v>3</v>
      </c>
      <c r="U18" s="179">
        <v>3</v>
      </c>
    </row>
    <row r="19" spans="1:21" s="187" customFormat="1" ht="18" customHeight="1">
      <c r="A19" s="187" t="s">
        <v>1054</v>
      </c>
      <c r="B19" s="187" t="s">
        <v>1127</v>
      </c>
      <c r="C19" s="187" t="s">
        <v>1126</v>
      </c>
      <c r="D19" s="187" t="s">
        <v>1100</v>
      </c>
      <c r="E19" s="194" t="s">
        <v>1132</v>
      </c>
      <c r="F19" s="192">
        <v>24.8</v>
      </c>
      <c r="G19" s="195">
        <f>5*1.5+3*1.5+3*1.25+5+4*1.5+4*1.25</f>
        <v>31.75</v>
      </c>
      <c r="H19" s="195">
        <f>5*1.5+3*1.5+4*1.25+4+4*1.5+4</f>
        <v>31</v>
      </c>
      <c r="I19" s="229">
        <f>計分版!D321</f>
        <v>2.8500000000000003E-9</v>
      </c>
      <c r="J19" s="196">
        <f t="shared" si="0"/>
        <v>-31.749999997149999</v>
      </c>
      <c r="K19" s="197">
        <f t="shared" si="1"/>
        <v>-11140350876.192982</v>
      </c>
      <c r="L19" s="188">
        <v>15</v>
      </c>
      <c r="M19" s="190"/>
      <c r="N19" s="191">
        <f>入學要求!S306</f>
        <v>0</v>
      </c>
      <c r="O19" s="192" t="s">
        <v>417</v>
      </c>
      <c r="P19" s="179">
        <v>3</v>
      </c>
      <c r="Q19" s="179">
        <v>3</v>
      </c>
      <c r="R19" s="179">
        <v>2</v>
      </c>
      <c r="S19" s="179">
        <v>2</v>
      </c>
      <c r="T19" s="48">
        <v>3</v>
      </c>
      <c r="U19" s="179">
        <v>3</v>
      </c>
    </row>
    <row r="20" spans="1:21" ht="18" customHeight="1">
      <c r="A20" s="19" t="s">
        <v>1055</v>
      </c>
      <c r="B20" s="19" t="s">
        <v>424</v>
      </c>
      <c r="C20" s="19" t="s">
        <v>303</v>
      </c>
      <c r="D20" s="19" t="s">
        <v>1101</v>
      </c>
      <c r="E20" s="64" t="s">
        <v>1138</v>
      </c>
      <c r="F20" s="47">
        <v>19.59</v>
      </c>
      <c r="G20" s="21">
        <f>4+3+4+5+4</f>
        <v>20</v>
      </c>
      <c r="H20" s="21">
        <f>4+3+4+4+4</f>
        <v>19</v>
      </c>
      <c r="I20" s="228">
        <f>計分版!D322</f>
        <v>1.9500000000000001E-9</v>
      </c>
      <c r="J20" s="91">
        <f t="shared" si="0"/>
        <v>-19.999999998050001</v>
      </c>
      <c r="K20" s="92">
        <f t="shared" si="1"/>
        <v>-10256410255.410255</v>
      </c>
      <c r="L20" s="178">
        <v>206</v>
      </c>
      <c r="M20" s="93"/>
      <c r="N20" s="24">
        <f>入學要求!S307</f>
        <v>0</v>
      </c>
      <c r="O20" s="47" t="s">
        <v>416</v>
      </c>
      <c r="P20" s="179">
        <v>3</v>
      </c>
      <c r="Q20" s="179">
        <v>3</v>
      </c>
      <c r="R20" s="179">
        <v>2</v>
      </c>
      <c r="S20" s="179">
        <v>2</v>
      </c>
      <c r="T20" s="179">
        <v>3</v>
      </c>
      <c r="U20" s="179">
        <v>3</v>
      </c>
    </row>
    <row r="21" spans="1:21" s="187" customFormat="1" ht="18" customHeight="1">
      <c r="A21" s="187" t="s">
        <v>1056</v>
      </c>
      <c r="B21" s="187" t="s">
        <v>425</v>
      </c>
      <c r="C21" s="187" t="s">
        <v>1125</v>
      </c>
      <c r="D21" s="187" t="s">
        <v>1103</v>
      </c>
      <c r="E21" s="194" t="s">
        <v>1130</v>
      </c>
      <c r="F21" s="192">
        <v>20.84</v>
      </c>
      <c r="G21" s="195">
        <f>4+4*2+4+4+5</f>
        <v>25</v>
      </c>
      <c r="H21" s="195">
        <f>3+4*2+4+5+5</f>
        <v>25</v>
      </c>
      <c r="I21" s="229">
        <f>計分版!D323</f>
        <v>2.1500000000000002E-9</v>
      </c>
      <c r="J21" s="196">
        <f t="shared" si="0"/>
        <v>-24.999999997850001</v>
      </c>
      <c r="K21" s="197">
        <f t="shared" si="1"/>
        <v>-11627906975.744184</v>
      </c>
      <c r="L21" s="188">
        <v>105</v>
      </c>
      <c r="M21" s="190"/>
      <c r="N21" s="191">
        <f>入學要求!S308</f>
        <v>0</v>
      </c>
      <c r="O21" s="192" t="s">
        <v>416</v>
      </c>
      <c r="P21" s="179">
        <v>3</v>
      </c>
      <c r="Q21" s="179">
        <v>3</v>
      </c>
      <c r="R21" s="179">
        <v>2</v>
      </c>
      <c r="S21" s="179">
        <v>2</v>
      </c>
      <c r="T21" s="179">
        <v>3</v>
      </c>
      <c r="U21" s="179">
        <v>3</v>
      </c>
    </row>
    <row r="22" spans="1:21" ht="18" customHeight="1">
      <c r="A22" s="19" t="s">
        <v>1057</v>
      </c>
      <c r="B22" s="19" t="s">
        <v>425</v>
      </c>
      <c r="C22" s="19" t="s">
        <v>1124</v>
      </c>
      <c r="D22" s="19" t="s">
        <v>1105</v>
      </c>
      <c r="E22" s="64" t="s">
        <v>1130</v>
      </c>
      <c r="F22" s="47">
        <v>22</v>
      </c>
      <c r="G22" s="21">
        <f>5+4+4+5+4</f>
        <v>22</v>
      </c>
      <c r="H22" s="21">
        <f>5+4+5+4+4</f>
        <v>22</v>
      </c>
      <c r="I22" s="228">
        <f>計分版!D324</f>
        <v>1.9500000000000001E-9</v>
      </c>
      <c r="J22" s="91">
        <f t="shared" si="0"/>
        <v>-21.999999998050001</v>
      </c>
      <c r="K22" s="92">
        <f t="shared" si="1"/>
        <v>-11282051281.051281</v>
      </c>
      <c r="L22" s="178">
        <v>26</v>
      </c>
      <c r="M22" s="93"/>
      <c r="N22" s="24">
        <f>入學要求!S309</f>
        <v>0</v>
      </c>
      <c r="O22" s="47" t="s">
        <v>416</v>
      </c>
      <c r="P22" s="179">
        <v>3</v>
      </c>
      <c r="Q22" s="179">
        <v>3</v>
      </c>
      <c r="R22" s="179">
        <v>2</v>
      </c>
      <c r="S22" s="179">
        <v>2</v>
      </c>
      <c r="T22" s="179">
        <v>3</v>
      </c>
      <c r="U22" s="179">
        <v>3</v>
      </c>
    </row>
    <row r="23" spans="1:21" s="187" customFormat="1" ht="18" customHeight="1">
      <c r="A23" s="187" t="s">
        <v>1058</v>
      </c>
      <c r="B23" s="187" t="s">
        <v>323</v>
      </c>
      <c r="C23" s="187" t="s">
        <v>1106</v>
      </c>
      <c r="D23" s="187" t="s">
        <v>1107</v>
      </c>
      <c r="E23" s="194" t="s">
        <v>1132</v>
      </c>
      <c r="F23" s="192">
        <v>24.73</v>
      </c>
      <c r="G23" s="192">
        <f>4+4*1.2+4+4+5+4</f>
        <v>25.8</v>
      </c>
      <c r="H23" s="198">
        <f>5+3*1.2+3+4+5+5</f>
        <v>25.6</v>
      </c>
      <c r="I23" s="229">
        <f>計分版!D325</f>
        <v>2.8899999999999997E-9</v>
      </c>
      <c r="J23" s="196">
        <f t="shared" si="0"/>
        <v>-25.79999999711</v>
      </c>
      <c r="K23" s="197">
        <f t="shared" si="1"/>
        <v>-8927335639.1384087</v>
      </c>
      <c r="L23" s="188">
        <v>15</v>
      </c>
      <c r="M23" s="190"/>
      <c r="N23" s="191">
        <f>入學要求!S310</f>
        <v>0</v>
      </c>
      <c r="O23" s="192" t="s">
        <v>416</v>
      </c>
      <c r="P23" s="179">
        <v>3</v>
      </c>
      <c r="Q23" s="179">
        <v>3</v>
      </c>
      <c r="R23" s="179">
        <v>2</v>
      </c>
      <c r="S23" s="179">
        <v>2</v>
      </c>
      <c r="T23" s="179">
        <v>3</v>
      </c>
      <c r="U23" s="179">
        <v>3</v>
      </c>
    </row>
    <row r="24" spans="1:21" ht="18" customHeight="1">
      <c r="A24" s="19" t="s">
        <v>1059</v>
      </c>
      <c r="B24" s="19" t="s">
        <v>323</v>
      </c>
      <c r="C24" s="19" t="s">
        <v>1108</v>
      </c>
      <c r="D24" s="19" t="s">
        <v>1109</v>
      </c>
      <c r="E24" s="64" t="s">
        <v>1132</v>
      </c>
      <c r="F24" s="47">
        <v>24.46</v>
      </c>
      <c r="G24" s="21">
        <f>5+4*1.2+4+4+5+3</f>
        <v>25.8</v>
      </c>
      <c r="H24" s="21">
        <f>3+4*1.2+3+3+6+5</f>
        <v>24.8</v>
      </c>
      <c r="I24" s="228">
        <f>計分版!D326</f>
        <v>2.8899999999999997E-9</v>
      </c>
      <c r="J24" s="91">
        <f t="shared" si="0"/>
        <v>-25.79999999711</v>
      </c>
      <c r="K24" s="92">
        <f t="shared" si="1"/>
        <v>-8927335639.1384087</v>
      </c>
      <c r="L24" s="178">
        <v>15</v>
      </c>
      <c r="M24" s="93"/>
      <c r="N24" s="24">
        <f>入學要求!S311</f>
        <v>0</v>
      </c>
      <c r="O24" s="47" t="s">
        <v>416</v>
      </c>
      <c r="P24" s="179">
        <v>3</v>
      </c>
      <c r="Q24" s="179">
        <v>3</v>
      </c>
      <c r="R24" s="179">
        <v>2</v>
      </c>
      <c r="S24" s="179">
        <v>2</v>
      </c>
      <c r="T24" s="179">
        <v>3</v>
      </c>
      <c r="U24" s="179">
        <v>3</v>
      </c>
    </row>
    <row r="25" spans="1:21" s="187" customFormat="1" ht="18" customHeight="1">
      <c r="A25" s="187" t="s">
        <v>1060</v>
      </c>
      <c r="B25" s="187" t="s">
        <v>323</v>
      </c>
      <c r="C25" s="187" t="s">
        <v>1110</v>
      </c>
      <c r="D25" s="187" t="s">
        <v>1111</v>
      </c>
      <c r="E25" s="194" t="s">
        <v>1130</v>
      </c>
      <c r="F25" s="192">
        <v>21.56</v>
      </c>
      <c r="G25" s="195">
        <f>3+3*2+6+5*1.5+5</f>
        <v>27.5</v>
      </c>
      <c r="H25" s="195">
        <f>5+4*2+4+4*1.25+4</f>
        <v>26</v>
      </c>
      <c r="I25" s="229">
        <f>計分版!D327</f>
        <v>2.3500000000000004E-9</v>
      </c>
      <c r="J25" s="196">
        <f t="shared" si="0"/>
        <v>-27.499999997650001</v>
      </c>
      <c r="K25" s="197">
        <f t="shared" si="1"/>
        <v>-11702127658.574467</v>
      </c>
      <c r="L25" s="188">
        <v>43</v>
      </c>
      <c r="M25" s="190"/>
      <c r="N25" s="191">
        <f>入學要求!S312</f>
        <v>0</v>
      </c>
      <c r="O25" s="192" t="s">
        <v>416</v>
      </c>
      <c r="P25" s="179">
        <v>3</v>
      </c>
      <c r="Q25" s="179">
        <v>3</v>
      </c>
      <c r="R25" s="179">
        <v>2</v>
      </c>
      <c r="S25" s="179">
        <v>2</v>
      </c>
      <c r="T25" s="179">
        <v>3</v>
      </c>
      <c r="U25" s="179">
        <v>3</v>
      </c>
    </row>
    <row r="26" spans="1:21" ht="18" customHeight="1">
      <c r="A26" s="19" t="s">
        <v>1061</v>
      </c>
      <c r="B26" s="19" t="s">
        <v>323</v>
      </c>
      <c r="C26" s="19" t="s">
        <v>1112</v>
      </c>
      <c r="D26" s="19" t="s">
        <v>1113</v>
      </c>
      <c r="E26" s="64" t="s">
        <v>220</v>
      </c>
      <c r="G26" s="21" t="s">
        <v>393</v>
      </c>
      <c r="H26" s="21" t="s">
        <v>393</v>
      </c>
      <c r="I26" s="228">
        <f>計分版!D328</f>
        <v>2.9999999999999996E-9</v>
      </c>
      <c r="J26" s="189" t="s">
        <v>393</v>
      </c>
      <c r="K26" s="189" t="s">
        <v>393</v>
      </c>
      <c r="L26" s="178">
        <v>20</v>
      </c>
      <c r="M26" s="93"/>
      <c r="N26" s="24">
        <f>入學要求!S313</f>
        <v>0</v>
      </c>
      <c r="O26" s="47" t="s">
        <v>417</v>
      </c>
      <c r="P26" s="179">
        <v>3</v>
      </c>
      <c r="Q26" s="179">
        <v>3</v>
      </c>
      <c r="R26" s="179">
        <v>2</v>
      </c>
      <c r="S26" s="179">
        <v>2</v>
      </c>
      <c r="T26" s="179">
        <v>3</v>
      </c>
      <c r="U26" s="179">
        <v>3</v>
      </c>
    </row>
    <row r="27" spans="1:21" s="187" customFormat="1" ht="18" customHeight="1">
      <c r="A27" s="187" t="s">
        <v>1062</v>
      </c>
      <c r="B27" s="187" t="s">
        <v>1145</v>
      </c>
      <c r="C27" s="187" t="s">
        <v>1114</v>
      </c>
      <c r="D27" s="187" t="s">
        <v>1115</v>
      </c>
      <c r="E27" s="194" t="s">
        <v>1130</v>
      </c>
      <c r="F27" s="192">
        <v>21.38</v>
      </c>
      <c r="G27" s="195">
        <f>4+3+6+4+5</f>
        <v>22</v>
      </c>
      <c r="H27" s="195">
        <f>4+3+4+5+5</f>
        <v>21</v>
      </c>
      <c r="I27" s="229">
        <f>計分版!D329</f>
        <v>1.9500000000000001E-9</v>
      </c>
      <c r="J27" s="196">
        <f t="shared" si="0"/>
        <v>-21.999999998050001</v>
      </c>
      <c r="K27" s="197">
        <f t="shared" si="1"/>
        <v>-11282051281.051281</v>
      </c>
      <c r="L27" s="188">
        <v>8</v>
      </c>
      <c r="M27" s="190"/>
      <c r="N27" s="191">
        <f>入學要求!S314</f>
        <v>0</v>
      </c>
      <c r="O27" s="192" t="s">
        <v>416</v>
      </c>
      <c r="P27" s="179">
        <v>3</v>
      </c>
      <c r="Q27" s="179">
        <v>3</v>
      </c>
      <c r="R27" s="179">
        <v>2</v>
      </c>
      <c r="S27" s="179">
        <v>2</v>
      </c>
      <c r="T27" s="179">
        <v>3</v>
      </c>
      <c r="U27" s="179">
        <v>3</v>
      </c>
    </row>
    <row r="28" spans="1:21" ht="18" customHeight="1">
      <c r="A28" s="19" t="s">
        <v>1063</v>
      </c>
      <c r="B28" s="19" t="s">
        <v>1145</v>
      </c>
      <c r="C28" s="19" t="s">
        <v>1116</v>
      </c>
      <c r="D28" s="19" t="s">
        <v>1117</v>
      </c>
      <c r="E28" s="64" t="s">
        <v>1130</v>
      </c>
      <c r="F28" s="47">
        <v>21.22</v>
      </c>
      <c r="G28" s="21">
        <f>5+3+3+6+5*1.2</f>
        <v>23</v>
      </c>
      <c r="H28" s="21">
        <f>5+4+3+3+5*1.2</f>
        <v>21</v>
      </c>
      <c r="I28" s="228">
        <f>計分版!D330</f>
        <v>1.9500000000000001E-9</v>
      </c>
      <c r="J28" s="91">
        <f t="shared" si="0"/>
        <v>-22.999999998050001</v>
      </c>
      <c r="K28" s="92">
        <f t="shared" si="1"/>
        <v>-11794871793.871794</v>
      </c>
      <c r="L28" s="178">
        <v>10</v>
      </c>
      <c r="M28" s="93"/>
      <c r="N28" s="24">
        <f>入學要求!S315</f>
        <v>0</v>
      </c>
      <c r="O28" s="47" t="s">
        <v>416</v>
      </c>
      <c r="P28" s="179">
        <v>3</v>
      </c>
      <c r="Q28" s="179">
        <v>3</v>
      </c>
      <c r="R28" s="179">
        <v>2</v>
      </c>
      <c r="S28" s="179">
        <v>2</v>
      </c>
      <c r="T28" s="179">
        <v>3</v>
      </c>
      <c r="U28" s="179">
        <v>3</v>
      </c>
    </row>
    <row r="29" spans="1:21" s="187" customFormat="1" ht="18" customHeight="1">
      <c r="A29" s="187" t="s">
        <v>1064</v>
      </c>
      <c r="B29" s="187" t="s">
        <v>1538</v>
      </c>
      <c r="C29" s="187" t="s">
        <v>1118</v>
      </c>
      <c r="D29" s="187" t="s">
        <v>1119</v>
      </c>
      <c r="E29" s="194" t="s">
        <v>214</v>
      </c>
      <c r="F29" s="192">
        <v>20</v>
      </c>
      <c r="G29" s="195">
        <f>4+4+5+4+4</f>
        <v>21</v>
      </c>
      <c r="H29" s="195">
        <f>4+3+6+5+4</f>
        <v>22</v>
      </c>
      <c r="I29" s="229">
        <f>計分版!D331</f>
        <v>3.5500000000000004E-9</v>
      </c>
      <c r="J29" s="196">
        <f t="shared" si="0"/>
        <v>-20.999999996450001</v>
      </c>
      <c r="K29" s="197">
        <f t="shared" si="1"/>
        <v>-5915492956.7464781</v>
      </c>
      <c r="L29" s="188">
        <v>52</v>
      </c>
      <c r="M29" s="190"/>
      <c r="N29" s="191">
        <f>入學要求!S316</f>
        <v>0</v>
      </c>
      <c r="O29" s="192" t="s">
        <v>417</v>
      </c>
      <c r="P29" s="179">
        <v>3</v>
      </c>
      <c r="Q29" s="179">
        <v>3</v>
      </c>
      <c r="R29" s="179">
        <v>2</v>
      </c>
      <c r="S29" s="179">
        <v>2</v>
      </c>
      <c r="T29" s="179">
        <v>3</v>
      </c>
      <c r="U29" s="179">
        <v>3</v>
      </c>
    </row>
    <row r="30" spans="1:21" ht="18" customHeight="1">
      <c r="A30" s="19" t="s">
        <v>1065</v>
      </c>
      <c r="B30" s="19" t="s">
        <v>1128</v>
      </c>
      <c r="C30" s="19" t="s">
        <v>1123</v>
      </c>
      <c r="D30" s="19" t="s">
        <v>1121</v>
      </c>
      <c r="E30" s="64" t="s">
        <v>1134</v>
      </c>
      <c r="F30" s="47">
        <v>21.64</v>
      </c>
      <c r="G30" s="21">
        <f>3+3+4+4+4+4</f>
        <v>22</v>
      </c>
      <c r="H30" s="21">
        <f>4+3+3+4+4+4</f>
        <v>22</v>
      </c>
      <c r="I30" s="228">
        <f>計分版!D332</f>
        <v>2.7000000000000002E-9</v>
      </c>
      <c r="J30" s="91">
        <f t="shared" si="0"/>
        <v>-21.999999997300002</v>
      </c>
      <c r="K30" s="92">
        <f t="shared" si="1"/>
        <v>-8148148147.1481485</v>
      </c>
      <c r="L30" s="178">
        <v>15</v>
      </c>
      <c r="M30" s="93"/>
      <c r="N30" s="24">
        <f>入學要求!S317</f>
        <v>0</v>
      </c>
      <c r="O30" s="47" t="s">
        <v>1359</v>
      </c>
      <c r="P30" s="179">
        <v>3</v>
      </c>
      <c r="Q30" s="179">
        <v>3</v>
      </c>
      <c r="R30" s="179">
        <v>2</v>
      </c>
      <c r="S30" s="179">
        <v>2</v>
      </c>
      <c r="T30" s="179">
        <v>3</v>
      </c>
      <c r="U30" s="179">
        <v>3</v>
      </c>
    </row>
    <row r="31" spans="1:21" ht="16.5" customHeight="1"/>
    <row r="32" spans="1:21" ht="16.5" customHeight="1">
      <c r="A32" s="19" t="s">
        <v>1189</v>
      </c>
    </row>
    <row r="33" spans="1:12" ht="16.5" customHeight="1">
      <c r="A33" s="19" t="s">
        <v>1184</v>
      </c>
    </row>
    <row r="34" spans="1:12" ht="16.5" customHeight="1">
      <c r="A34" s="18"/>
      <c r="F34" s="182"/>
      <c r="L34" s="180"/>
    </row>
    <row r="35" spans="1:12" ht="16.5" customHeight="1">
      <c r="A35" s="18" t="s">
        <v>1352</v>
      </c>
      <c r="F35" s="182"/>
      <c r="L35" s="180"/>
    </row>
    <row r="36" spans="1:12" ht="16.5" customHeight="1">
      <c r="A36" s="269" t="s">
        <v>1360</v>
      </c>
      <c r="F36" s="260"/>
      <c r="L36" s="262"/>
    </row>
    <row r="37" spans="1:12" ht="16.5" customHeight="1">
      <c r="A37" s="270" t="s">
        <v>1361</v>
      </c>
      <c r="F37" s="260"/>
      <c r="L37" s="262"/>
    </row>
    <row r="38" spans="1:12" ht="16.5" customHeight="1">
      <c r="A38" s="18"/>
      <c r="F38" s="182"/>
      <c r="L38" s="180"/>
    </row>
    <row r="39" spans="1:12" ht="16.5" customHeight="1">
      <c r="A39" s="18"/>
      <c r="F39" s="182"/>
      <c r="L39" s="180"/>
    </row>
    <row r="40" spans="1:12" ht="16.5" customHeight="1">
      <c r="A40" s="18"/>
      <c r="F40" s="182"/>
      <c r="L40" s="180"/>
    </row>
    <row r="41" spans="1:12" ht="16.5" hidden="1" customHeight="1"/>
    <row r="42" spans="1:12" ht="16.5" hidden="1" customHeight="1">
      <c r="F42" s="182"/>
      <c r="L42" s="180"/>
    </row>
    <row r="43" spans="1:12" ht="16.5" hidden="1" customHeight="1">
      <c r="F43" s="182"/>
      <c r="L43" s="180"/>
    </row>
    <row r="44" spans="1:12" ht="16.5" hidden="1" customHeight="1">
      <c r="F44" s="182"/>
      <c r="L44" s="180"/>
    </row>
    <row r="45" spans="1:12" ht="16.5" hidden="1" customHeight="1"/>
    <row r="46" spans="1:12" ht="16.5" hidden="1" customHeight="1"/>
    <row r="47" spans="1:12" ht="16.5" hidden="1" customHeight="1"/>
    <row r="48" spans="1:12" ht="16.5" hidden="1" customHeight="1"/>
    <row r="49" spans="1:21" ht="16.5" hidden="1" customHeight="1"/>
    <row r="50" spans="1:21" ht="16.5" hidden="1" customHeight="1"/>
    <row r="51" spans="1:21" ht="16.5" hidden="1" customHeight="1"/>
    <row r="52" spans="1:21" ht="16.5" hidden="1" customHeight="1"/>
    <row r="53" spans="1:21" ht="16.5" hidden="1" customHeight="1"/>
    <row r="54" spans="1:21" ht="16.5" hidden="1" customHeight="1">
      <c r="A54" s="18"/>
      <c r="E54" s="181"/>
      <c r="F54" s="178"/>
      <c r="G54" s="47"/>
      <c r="H54" s="47"/>
      <c r="I54" s="47"/>
      <c r="J54" s="63"/>
      <c r="K54" s="64"/>
      <c r="M54" s="65"/>
      <c r="O54" s="47"/>
      <c r="P54" s="47"/>
      <c r="Q54" s="47"/>
      <c r="R54" s="47"/>
      <c r="S54" s="47"/>
      <c r="T54" s="47"/>
      <c r="U54" s="47"/>
    </row>
    <row r="55" spans="1:21" ht="16.5" hidden="1" customHeight="1">
      <c r="A55" s="18"/>
      <c r="E55" s="181"/>
      <c r="F55" s="178"/>
      <c r="G55" s="47"/>
      <c r="H55" s="47"/>
      <c r="I55" s="47"/>
      <c r="J55" s="63"/>
      <c r="K55" s="64"/>
      <c r="M55" s="65"/>
      <c r="O55" s="47"/>
      <c r="P55" s="47"/>
      <c r="Q55" s="47"/>
      <c r="R55" s="47"/>
      <c r="S55" s="47"/>
      <c r="T55" s="47"/>
      <c r="U55" s="47"/>
    </row>
  </sheetData>
  <mergeCells count="3">
    <mergeCell ref="J1:K1"/>
    <mergeCell ref="E3:E8"/>
    <mergeCell ref="G3:H8"/>
  </mergeCells>
  <phoneticPr fontId="2" type="noConversion"/>
  <conditionalFormatting sqref="J2:K30">
    <cfRule type="cellIs" dxfId="347" priority="75" operator="equal">
      <formula>"/"</formula>
    </cfRule>
    <cfRule type="cellIs" dxfId="346" priority="76" operator="lessThan">
      <formula>0</formula>
    </cfRule>
    <cfRule type="cellIs" dxfId="345" priority="77" operator="greaterThan">
      <formula>0</formula>
    </cfRule>
  </conditionalFormatting>
  <conditionalFormatting sqref="G2 G9:G30">
    <cfRule type="expression" dxfId="344" priority="74">
      <formula>$J$1="差距(Median)"</formula>
    </cfRule>
  </conditionalFormatting>
  <conditionalFormatting sqref="H2 H9:H30">
    <cfRule type="expression" dxfId="343" priority="73">
      <formula>$J$1="差距(LQ)"</formula>
    </cfRule>
  </conditionalFormatting>
  <conditionalFormatting sqref="N2:N30">
    <cfRule type="cellIs" dxfId="342" priority="70" operator="equal">
      <formula>2</formula>
    </cfRule>
    <cfRule type="cellIs" dxfId="341" priority="71" operator="equal">
      <formula>1</formula>
    </cfRule>
    <cfRule type="cellIs" dxfId="340" priority="72" operator="equal">
      <formula>0</formula>
    </cfRule>
  </conditionalFormatting>
  <conditionalFormatting sqref="L2:L8 L11:L30">
    <cfRule type="cellIs" dxfId="339" priority="69" operator="lessThan">
      <formula>30</formula>
    </cfRule>
  </conditionalFormatting>
  <conditionalFormatting sqref="T9">
    <cfRule type="cellIs" dxfId="338" priority="1" operator="greaterThan">
      <formula>3</formula>
    </cfRule>
  </conditionalFormatting>
  <hyperlinks>
    <hyperlink ref="A36" r:id="rId1" xr:uid="{BE912BB0-C2E5-443E-AE55-B54FDB80B953}"/>
    <hyperlink ref="A37" r:id="rId2" xr:uid="{A4C66248-9D30-4BF2-AD18-675D951CDC54}"/>
  </hyperlinks>
  <pageMargins left="0.7" right="0.7" top="0.75" bottom="0.75" header="0.3" footer="0.3"/>
  <legacyDrawing r:id="rId3"/>
  <extLst>
    <ext xmlns:x14="http://schemas.microsoft.com/office/spreadsheetml/2009/9/main" uri="{78C0D931-6437-407d-A8EE-F0AAD7539E65}">
      <x14:conditionalFormattings>
        <x14:conditionalFormatting xmlns:xm="http://schemas.microsoft.com/office/excel/2006/main">
          <x14:cfRule type="cellIs" priority="31" operator="greaterThan" id="{7CA9701B-510A-4F13-878E-897338A24EC2}">
            <xm:f>LARGE(計分版!$G$13:$L$13,2)</xm:f>
            <x14:dxf>
              <font>
                <color rgb="FF9C0006"/>
              </font>
              <fill>
                <patternFill>
                  <bgColor rgb="FFFFC7CE"/>
                </patternFill>
              </fill>
            </x14:dxf>
          </x14:cfRule>
          <xm:sqref>U2:U30</xm:sqref>
        </x14:conditionalFormatting>
        <x14:conditionalFormatting xmlns:xm="http://schemas.microsoft.com/office/excel/2006/main">
          <x14:cfRule type="cellIs" priority="26" operator="greaterThan" id="{B3760635-E5BB-499B-8B04-84B7B7864FEB}">
            <xm:f>計分版!$C$13</xm:f>
            <x14:dxf>
              <font>
                <color rgb="FF9C0006"/>
              </font>
              <fill>
                <patternFill>
                  <bgColor rgb="FFFFC7CE"/>
                </patternFill>
              </fill>
            </x14:dxf>
          </x14:cfRule>
          <x14:cfRule type="cellIs" priority="27" operator="lessThan" id="{52A77CB1-0DDA-4A3C-A3AA-82EF380A6B51}">
            <xm:f>計分版!$C$13</xm:f>
            <x14:dxf>
              <font>
                <color rgb="FF006100"/>
              </font>
              <fill>
                <patternFill>
                  <bgColor rgb="FFC6EFCE"/>
                </patternFill>
              </fill>
            </x14:dxf>
          </x14:cfRule>
          <xm:sqref>P2:P30</xm:sqref>
        </x14:conditionalFormatting>
        <x14:conditionalFormatting xmlns:xm="http://schemas.microsoft.com/office/excel/2006/main">
          <x14:cfRule type="cellIs" priority="24" operator="greaterThan" id="{3413580A-2475-4A95-B5EE-E4159597231D}">
            <xm:f>計分版!$D$13</xm:f>
            <x14:dxf>
              <font>
                <color rgb="FF9C0006"/>
              </font>
              <fill>
                <patternFill>
                  <bgColor rgb="FFFFC7CE"/>
                </patternFill>
              </fill>
            </x14:dxf>
          </x14:cfRule>
          <x14:cfRule type="cellIs" priority="25" operator="lessThan" id="{39EB4EB2-3E9F-4ECA-8081-82CF96827F36}">
            <xm:f>計分版!$D$13</xm:f>
            <x14:dxf>
              <font>
                <color rgb="FF006100"/>
              </font>
              <fill>
                <patternFill>
                  <bgColor rgb="FFC6EFCE"/>
                </patternFill>
              </fill>
            </x14:dxf>
          </x14:cfRule>
          <xm:sqref>Q2:Q9 Q11:Q13 Q18:Q25 Q27:Q30</xm:sqref>
        </x14:conditionalFormatting>
        <x14:conditionalFormatting xmlns:xm="http://schemas.microsoft.com/office/excel/2006/main">
          <x14:cfRule type="cellIs" priority="22" operator="lessThan" id="{94BE2D1A-F95B-4EDE-BEC6-9E19A6A04D1C}">
            <xm:f>計分版!$E$13</xm:f>
            <x14:dxf>
              <font>
                <color rgb="FF006100"/>
              </font>
              <fill>
                <patternFill>
                  <bgColor rgb="FFC6EFCE"/>
                </patternFill>
              </fill>
            </x14:dxf>
          </x14:cfRule>
          <x14:cfRule type="cellIs" priority="23" operator="greaterThan" id="{38703377-9D2D-45E9-9F4B-3BA5F8F49AC9}">
            <xm:f>計分版!$E$13</xm:f>
            <x14:dxf>
              <font>
                <color rgb="FF9C0006"/>
              </font>
              <fill>
                <patternFill>
                  <bgColor rgb="FFFFC7CE"/>
                </patternFill>
              </fill>
            </x14:dxf>
          </x14:cfRule>
          <xm:sqref>R2:R30</xm:sqref>
        </x14:conditionalFormatting>
        <x14:conditionalFormatting xmlns:xm="http://schemas.microsoft.com/office/excel/2006/main">
          <x14:cfRule type="cellIs" priority="20" operator="lessThan" id="{D1C1CF8A-006B-4851-BDCD-30DFC4FAEE10}">
            <xm:f>計分版!$F$13</xm:f>
            <x14:dxf>
              <font>
                <color rgb="FF006100"/>
              </font>
              <fill>
                <patternFill>
                  <bgColor rgb="FFC6EFCE"/>
                </patternFill>
              </fill>
            </x14:dxf>
          </x14:cfRule>
          <x14:cfRule type="cellIs" priority="21" operator="greaterThan" id="{3EB4DB95-BB20-4CDC-8E19-8059C3610F36}">
            <xm:f>計分版!$F$13</xm:f>
            <x14:dxf>
              <font>
                <color rgb="FF9C0006"/>
              </font>
              <fill>
                <patternFill>
                  <bgColor rgb="FFFFC7CE"/>
                </patternFill>
              </fill>
            </x14:dxf>
          </x14:cfRule>
          <xm:sqref>S2:S30</xm:sqref>
        </x14:conditionalFormatting>
        <x14:conditionalFormatting xmlns:xm="http://schemas.microsoft.com/office/excel/2006/main">
          <x14:cfRule type="cellIs" priority="28" operator="lessThan" id="{7F99985A-AD4B-4E07-BE3A-F6BD2A8F1794}">
            <xm:f>LARGE(計分版!$G$13:$L$13,1)</xm:f>
            <x14:dxf>
              <font>
                <color rgb="FF006100"/>
              </font>
              <fill>
                <patternFill>
                  <bgColor rgb="FFC6EFCE"/>
                </patternFill>
              </fill>
            </x14:dxf>
          </x14:cfRule>
          <x14:cfRule type="cellIs" priority="29" operator="greaterThan" id="{F1D18D80-27B8-492C-A4F3-A73EAA37A030}">
            <xm:f>LARGE(計分版!$G$13:$L$13,1)</xm:f>
            <x14:dxf>
              <font>
                <color rgb="FF9C0006"/>
              </font>
              <fill>
                <patternFill>
                  <bgColor rgb="FFFFC7CE"/>
                </patternFill>
              </fill>
            </x14:dxf>
          </x14:cfRule>
          <xm:sqref>T2:T17 T20:T30</xm:sqref>
        </x14:conditionalFormatting>
        <x14:conditionalFormatting xmlns:xm="http://schemas.microsoft.com/office/excel/2006/main">
          <x14:cfRule type="cellIs" priority="30" operator="lessThan" id="{99C89977-3957-4229-840D-33F80073A34C}">
            <xm:f>LARGE(計分版!$G$13:$L$13,2)</xm:f>
            <x14:dxf>
              <font>
                <color rgb="FF006100"/>
              </font>
              <fill>
                <patternFill>
                  <bgColor rgb="FFC6EFCE"/>
                </patternFill>
              </fill>
            </x14:dxf>
          </x14:cfRule>
          <xm:sqref>U2:U30</xm:sqref>
        </x14:conditionalFormatting>
        <x14:conditionalFormatting xmlns:xm="http://schemas.microsoft.com/office/excel/2006/main">
          <x14:cfRule type="cellIs" priority="18" operator="greaterThan" id="{EB034C89-952D-4FE0-A04B-7F63DA58DECC}">
            <xm:f>計分版!$C$13</xm:f>
            <x14:dxf>
              <font>
                <color rgb="FF9C0006"/>
              </font>
              <fill>
                <patternFill>
                  <bgColor rgb="FFFFC7CE"/>
                </patternFill>
              </fill>
            </x14:dxf>
          </x14:cfRule>
          <x14:cfRule type="cellIs" priority="19" operator="lessThan" id="{16E1ECFF-1F4F-4196-98FC-53268AA1FFFA}">
            <xm:f>計分版!$C$13</xm:f>
            <x14:dxf>
              <font>
                <color rgb="FF006100"/>
              </font>
              <fill>
                <patternFill>
                  <bgColor rgb="FFC6EFCE"/>
                </patternFill>
              </fill>
            </x14:dxf>
          </x14:cfRule>
          <xm:sqref>Q10</xm:sqref>
        </x14:conditionalFormatting>
        <x14:conditionalFormatting xmlns:xm="http://schemas.microsoft.com/office/excel/2006/main">
          <x14:cfRule type="cellIs" priority="16" operator="greaterThan" id="{F5E4F165-BE20-43C4-9811-67F2C920F9D2}">
            <xm:f>計分版!$C$13</xm:f>
            <x14:dxf>
              <font>
                <color rgb="FF9C0006"/>
              </font>
              <fill>
                <patternFill>
                  <bgColor rgb="FFFFC7CE"/>
                </patternFill>
              </fill>
            </x14:dxf>
          </x14:cfRule>
          <x14:cfRule type="cellIs" priority="17" operator="lessThan" id="{3579CE9F-C8A1-4AF6-93C1-244CA007A451}">
            <xm:f>計分版!$C$13</xm:f>
            <x14:dxf>
              <font>
                <color rgb="FF006100"/>
              </font>
              <fill>
                <patternFill>
                  <bgColor rgb="FFC6EFCE"/>
                </patternFill>
              </fill>
            </x14:dxf>
          </x14:cfRule>
          <xm:sqref>Q14</xm:sqref>
        </x14:conditionalFormatting>
        <x14:conditionalFormatting xmlns:xm="http://schemas.microsoft.com/office/excel/2006/main">
          <x14:cfRule type="cellIs" priority="14" operator="greaterThan" id="{F964AA61-D5A4-4A06-A17A-477BA7228C89}">
            <xm:f>計分版!$C$13</xm:f>
            <x14:dxf>
              <font>
                <color rgb="FF9C0006"/>
              </font>
              <fill>
                <patternFill>
                  <bgColor rgb="FFFFC7CE"/>
                </patternFill>
              </fill>
            </x14:dxf>
          </x14:cfRule>
          <x14:cfRule type="cellIs" priority="15" operator="lessThan" id="{3DA7A68F-2D85-4747-9327-CBC854A46133}">
            <xm:f>計分版!$C$13</xm:f>
            <x14:dxf>
              <font>
                <color rgb="FF006100"/>
              </font>
              <fill>
                <patternFill>
                  <bgColor rgb="FFC6EFCE"/>
                </patternFill>
              </fill>
            </x14:dxf>
          </x14:cfRule>
          <xm:sqref>Q15</xm:sqref>
        </x14:conditionalFormatting>
        <x14:conditionalFormatting xmlns:xm="http://schemas.microsoft.com/office/excel/2006/main">
          <x14:cfRule type="cellIs" priority="12" operator="greaterThan" id="{13CEAAE7-05F1-4DC5-8E4B-5C0BC6BFE60F}">
            <xm:f>計分版!$C$13</xm:f>
            <x14:dxf>
              <font>
                <color rgb="FF9C0006"/>
              </font>
              <fill>
                <patternFill>
                  <bgColor rgb="FFFFC7CE"/>
                </patternFill>
              </fill>
            </x14:dxf>
          </x14:cfRule>
          <x14:cfRule type="cellIs" priority="13" operator="lessThan" id="{26C5DBA5-17E9-4759-8A3B-01EFDAA32941}">
            <xm:f>計分版!$C$13</xm:f>
            <x14:dxf>
              <font>
                <color rgb="FF006100"/>
              </font>
              <fill>
                <patternFill>
                  <bgColor rgb="FFC6EFCE"/>
                </patternFill>
              </fill>
            </x14:dxf>
          </x14:cfRule>
          <xm:sqref>Q16</xm:sqref>
        </x14:conditionalFormatting>
        <x14:conditionalFormatting xmlns:xm="http://schemas.microsoft.com/office/excel/2006/main">
          <x14:cfRule type="cellIs" priority="10" operator="greaterThan" id="{08A1F035-85E9-4C85-A4E8-FE4B5F0EA807}">
            <xm:f>計分版!$C$13</xm:f>
            <x14:dxf>
              <font>
                <color rgb="FF9C0006"/>
              </font>
              <fill>
                <patternFill>
                  <bgColor rgb="FFFFC7CE"/>
                </patternFill>
              </fill>
            </x14:dxf>
          </x14:cfRule>
          <x14:cfRule type="cellIs" priority="11" operator="lessThan" id="{63709A9B-75AE-4CC2-8F54-C0F9B75B0CF8}">
            <xm:f>計分版!$C$13</xm:f>
            <x14:dxf>
              <font>
                <color rgb="FF006100"/>
              </font>
              <fill>
                <patternFill>
                  <bgColor rgb="FFC6EFCE"/>
                </patternFill>
              </fill>
            </x14:dxf>
          </x14:cfRule>
          <xm:sqref>Q17</xm:sqref>
        </x14:conditionalFormatting>
        <x14:conditionalFormatting xmlns:xm="http://schemas.microsoft.com/office/excel/2006/main">
          <x14:cfRule type="cellIs" priority="8" operator="lessThan" id="{8AB498EA-BFA0-4947-AC9E-57FC173A0B3C}">
            <xm:f>LARGE(計分版!$G$13:$L$13,1)</xm:f>
            <x14:dxf>
              <font>
                <color rgb="FF006100"/>
              </font>
              <fill>
                <patternFill>
                  <bgColor rgb="FFC6EFCE"/>
                </patternFill>
              </fill>
            </x14:dxf>
          </x14:cfRule>
          <x14:cfRule type="cellIs" priority="9" operator="greaterThan" id="{D4B95628-D084-41CA-B18F-3094E4056180}">
            <xm:f>LARGE(計分版!$G$13:$L$13,1)</xm:f>
            <x14:dxf>
              <font>
                <color rgb="FF9C0006"/>
              </font>
              <fill>
                <patternFill>
                  <bgColor rgb="FFFFC7CE"/>
                </patternFill>
              </fill>
            </x14:dxf>
          </x14:cfRule>
          <xm:sqref>T18</xm:sqref>
        </x14:conditionalFormatting>
        <x14:conditionalFormatting xmlns:xm="http://schemas.microsoft.com/office/excel/2006/main">
          <x14:cfRule type="expression" priority="7" id="{3F672A0D-6810-4E11-B955-9325ACB18424}">
            <xm:f>計分版!$R$199=0</xm:f>
            <x14:dxf>
              <font>
                <color rgb="FF9C0006"/>
              </font>
              <fill>
                <patternFill>
                  <bgColor rgb="FFFFC7CE"/>
                </patternFill>
              </fill>
            </x14:dxf>
          </x14:cfRule>
          <xm:sqref>T18</xm:sqref>
        </x14:conditionalFormatting>
        <x14:conditionalFormatting xmlns:xm="http://schemas.microsoft.com/office/excel/2006/main">
          <x14:cfRule type="cellIs" priority="5" operator="lessThan" id="{E895EB4C-82BD-45BD-918F-85032B2DED7E}">
            <xm:f>LARGE(計分版!$G$13:$L$13,1)</xm:f>
            <x14:dxf>
              <font>
                <color rgb="FF006100"/>
              </font>
              <fill>
                <patternFill>
                  <bgColor rgb="FFC6EFCE"/>
                </patternFill>
              </fill>
            </x14:dxf>
          </x14:cfRule>
          <x14:cfRule type="cellIs" priority="6" operator="greaterThan" id="{7F46E93B-2455-4672-B826-A4E5D181D7EE}">
            <xm:f>LARGE(計分版!$G$13:$L$13,1)</xm:f>
            <x14:dxf>
              <font>
                <color rgb="FF9C0006"/>
              </font>
              <fill>
                <patternFill>
                  <bgColor rgb="FFFFC7CE"/>
                </patternFill>
              </fill>
            </x14:dxf>
          </x14:cfRule>
          <xm:sqref>T19</xm:sqref>
        </x14:conditionalFormatting>
        <x14:conditionalFormatting xmlns:xm="http://schemas.microsoft.com/office/excel/2006/main">
          <x14:cfRule type="expression" priority="4" id="{586DB2C3-D836-48EA-A244-2A71E938F0F8}">
            <xm:f>計分版!$R$215=0</xm:f>
            <x14:dxf>
              <font>
                <color rgb="FF9C0006"/>
              </font>
              <fill>
                <patternFill>
                  <bgColor rgb="FFFFC7CE"/>
                </patternFill>
              </fill>
            </x14:dxf>
          </x14:cfRule>
          <xm:sqref>T19</xm:sqref>
        </x14:conditionalFormatting>
        <x14:conditionalFormatting xmlns:xm="http://schemas.microsoft.com/office/excel/2006/main">
          <x14:cfRule type="cellIs" priority="2" operator="greaterThan" id="{0AEE34DC-5D0E-497D-9DBD-014CBD3BB842}">
            <xm:f>計分版!$C$13</xm:f>
            <x14:dxf>
              <font>
                <color rgb="FF9C0006"/>
              </font>
              <fill>
                <patternFill>
                  <bgColor rgb="FFFFC7CE"/>
                </patternFill>
              </fill>
            </x14:dxf>
          </x14:cfRule>
          <x14:cfRule type="cellIs" priority="3" operator="lessThan" id="{C36D8E70-ADED-4BC7-B012-5069C63FBB78}">
            <xm:f>計分版!$C$13</xm:f>
            <x14:dxf>
              <font>
                <color rgb="FF006100"/>
              </font>
              <fill>
                <patternFill>
                  <bgColor rgb="FFC6EFCE"/>
                </patternFill>
              </fill>
            </x14:dxf>
          </x14:cfRule>
          <xm:sqref>Q26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F15D94-60CF-4F84-9AAD-B52EF07E8579}">
          <x14:formula1>
            <xm:f>選單!$I$2:$I$3</xm:f>
          </x14:formula1>
          <xm:sqref>J1:K1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E58D-64B2-497C-901C-A385BB6BDD97}">
  <dimension ref="A1:XFC67"/>
  <sheetViews>
    <sheetView topLeftCell="A13" zoomScaleNormal="100" workbookViewId="0">
      <selection activeCell="A16" sqref="A16"/>
    </sheetView>
  </sheetViews>
  <sheetFormatPr defaultColWidth="0" defaultRowHeight="15.75" zeroHeight="1"/>
  <cols>
    <col min="1" max="1" width="8" style="43" customWidth="1"/>
    <col min="2" max="2" width="15.875" style="43" customWidth="1"/>
    <col min="3" max="3" width="21.875" style="43" customWidth="1"/>
    <col min="4" max="4" width="20.375" style="43" hidden="1" customWidth="1"/>
    <col min="5" max="5" width="7.625" style="57" customWidth="1"/>
    <col min="6" max="6" width="6.125" style="43" customWidth="1"/>
    <col min="7" max="7" width="6.875" style="43" customWidth="1"/>
    <col min="8" max="8" width="7.625" style="43" customWidth="1"/>
    <col min="9" max="9" width="8.25" style="43" customWidth="1"/>
    <col min="10" max="10" width="7.25" style="43" customWidth="1"/>
    <col min="11" max="11" width="4.75" style="43" customWidth="1"/>
    <col min="12" max="12" width="4.625" style="43" hidden="1" customWidth="1"/>
    <col min="13" max="13" width="4" style="43" customWidth="1"/>
    <col min="14" max="14" width="7.75" style="43" customWidth="1"/>
    <col min="15" max="20" width="2.75" style="43" customWidth="1"/>
    <col min="21" max="23" width="8.875" style="43" customWidth="1"/>
    <col min="24" max="16383" width="8.875" style="43" hidden="1"/>
    <col min="16384" max="16384" width="4.875" style="43" hidden="1"/>
  </cols>
  <sheetData>
    <row r="1" spans="1:20" s="103" customFormat="1" ht="18" customHeight="1">
      <c r="A1" s="101" t="s">
        <v>228</v>
      </c>
      <c r="B1" s="101" t="s">
        <v>325</v>
      </c>
      <c r="C1" s="101" t="s">
        <v>400</v>
      </c>
      <c r="D1" s="101"/>
      <c r="E1" s="246" t="s">
        <v>229</v>
      </c>
      <c r="F1" s="246" t="s">
        <v>327</v>
      </c>
      <c r="G1" s="246" t="s">
        <v>328</v>
      </c>
      <c r="H1" s="246" t="s">
        <v>230</v>
      </c>
      <c r="I1" s="314" t="s">
        <v>888</v>
      </c>
      <c r="J1" s="314"/>
      <c r="K1" s="246" t="s">
        <v>394</v>
      </c>
      <c r="L1" s="102" t="s">
        <v>436</v>
      </c>
      <c r="M1" s="101" t="s">
        <v>414</v>
      </c>
      <c r="N1" s="246" t="s">
        <v>415</v>
      </c>
      <c r="O1" s="246" t="s">
        <v>405</v>
      </c>
      <c r="P1" s="246" t="s">
        <v>406</v>
      </c>
      <c r="Q1" s="246" t="s">
        <v>407</v>
      </c>
      <c r="R1" s="246" t="s">
        <v>408</v>
      </c>
      <c r="S1" s="246" t="s">
        <v>409</v>
      </c>
      <c r="T1" s="246" t="s">
        <v>410</v>
      </c>
    </row>
    <row r="2" spans="1:20" s="99" customFormat="1" ht="18" customHeight="1">
      <c r="A2" s="19" t="s">
        <v>442</v>
      </c>
      <c r="B2" s="19" t="s">
        <v>855</v>
      </c>
      <c r="C2" s="19" t="s">
        <v>542</v>
      </c>
      <c r="D2" s="19" t="s">
        <v>497</v>
      </c>
      <c r="E2" s="245" t="s">
        <v>215</v>
      </c>
      <c r="F2" s="21">
        <f>4*10+4*10+4*10+4*10+6*10+4*5</f>
        <v>240</v>
      </c>
      <c r="G2" s="21">
        <f>5*10+4*10+4*10+4*10+4*10+4*5</f>
        <v>230</v>
      </c>
      <c r="H2" s="230">
        <f>計分版!D129</f>
        <v>1.925E-8</v>
      </c>
      <c r="I2" s="91">
        <f>IF(I$1="差距(Median)",H2-F2,IF(I$1="差距(LQ)",H2-G2))</f>
        <v>-229.99999998075</v>
      </c>
      <c r="J2" s="92">
        <f>IF(I$1="差距(Median)",(H2-F2)/H2,IF(I$1="差距(LQ)",(H2-G2)/H2))</f>
        <v>-11948051947.051949</v>
      </c>
      <c r="K2" s="247">
        <v>70</v>
      </c>
      <c r="L2" s="93"/>
      <c r="M2" s="24">
        <f>入學要求!S139</f>
        <v>0</v>
      </c>
      <c r="N2" s="245"/>
      <c r="O2" s="245">
        <v>3</v>
      </c>
      <c r="P2" s="245">
        <v>3</v>
      </c>
      <c r="Q2" s="245">
        <v>2</v>
      </c>
      <c r="R2" s="245">
        <v>2</v>
      </c>
      <c r="S2" s="245">
        <v>3</v>
      </c>
      <c r="T2" s="245">
        <v>3</v>
      </c>
    </row>
    <row r="3" spans="1:20" s="112" customFormat="1" ht="18" customHeight="1">
      <c r="A3" s="104" t="s">
        <v>443</v>
      </c>
      <c r="B3" s="104" t="s">
        <v>860</v>
      </c>
      <c r="C3" s="104" t="s">
        <v>543</v>
      </c>
      <c r="D3" s="104" t="s">
        <v>498</v>
      </c>
      <c r="E3" s="111" t="s">
        <v>214</v>
      </c>
      <c r="F3" s="105">
        <f>5*10+5*10+4*10+4*10+4*10</f>
        <v>220</v>
      </c>
      <c r="G3" s="105">
        <f>4*10+4*10+5*10+4*10+4*7</f>
        <v>198</v>
      </c>
      <c r="H3" s="231">
        <f>計分版!D130</f>
        <v>2.175E-8</v>
      </c>
      <c r="I3" s="106">
        <f t="shared" ref="I3:I46" si="0">IF(I$1="差距(Median)",H3-F3,IF(I$1="差距(LQ)",H3-G3))</f>
        <v>-197.99999997825</v>
      </c>
      <c r="J3" s="107">
        <f t="shared" ref="J3:J46" si="1">IF(I$1="差距(Median)",(H3-F3)/H3,IF(I$1="差距(LQ)",(H3-G3)/H3))</f>
        <v>-9103448274.8620701</v>
      </c>
      <c r="K3" s="108">
        <v>26</v>
      </c>
      <c r="L3" s="109"/>
      <c r="M3" s="110">
        <f>入學要求!S140</f>
        <v>0</v>
      </c>
      <c r="N3" s="111"/>
      <c r="O3" s="111">
        <v>3</v>
      </c>
      <c r="P3" s="111">
        <v>3</v>
      </c>
      <c r="Q3" s="111">
        <v>2</v>
      </c>
      <c r="R3" s="111">
        <v>2</v>
      </c>
      <c r="S3" s="111">
        <v>3</v>
      </c>
      <c r="T3" s="111">
        <v>3</v>
      </c>
    </row>
    <row r="4" spans="1:20" s="99" customFormat="1" ht="18" customHeight="1">
      <c r="A4" s="19" t="s">
        <v>444</v>
      </c>
      <c r="B4" s="19" t="s">
        <v>320</v>
      </c>
      <c r="C4" s="19" t="s">
        <v>544</v>
      </c>
      <c r="D4" s="19" t="s">
        <v>499</v>
      </c>
      <c r="E4" s="255" t="s">
        <v>214</v>
      </c>
      <c r="F4" s="21">
        <f>5*10+5*10+5*7+3*10+3*10</f>
        <v>195</v>
      </c>
      <c r="G4" s="21">
        <f>3*10+4*10+4*7+4*10+3*10</f>
        <v>168</v>
      </c>
      <c r="H4" s="230">
        <f>計分版!D131</f>
        <v>2.175E-8</v>
      </c>
      <c r="I4" s="91">
        <f t="shared" si="0"/>
        <v>-167.99999997825</v>
      </c>
      <c r="J4" s="92">
        <f t="shared" si="1"/>
        <v>-7724137930.034483</v>
      </c>
      <c r="K4" s="247">
        <v>23</v>
      </c>
      <c r="L4" s="93"/>
      <c r="M4" s="24">
        <f>入學要求!S141</f>
        <v>0</v>
      </c>
      <c r="N4" s="245"/>
      <c r="O4" s="245">
        <v>3</v>
      </c>
      <c r="P4" s="245">
        <v>3</v>
      </c>
      <c r="Q4" s="245">
        <v>2</v>
      </c>
      <c r="R4" s="245">
        <v>2</v>
      </c>
      <c r="S4" s="245">
        <v>3</v>
      </c>
      <c r="T4" s="245">
        <v>3</v>
      </c>
    </row>
    <row r="5" spans="1:20" s="112" customFormat="1" ht="18" customHeight="1">
      <c r="A5" s="104" t="s">
        <v>445</v>
      </c>
      <c r="B5" s="104" t="s">
        <v>858</v>
      </c>
      <c r="C5" s="104" t="s">
        <v>545</v>
      </c>
      <c r="D5" s="104" t="s">
        <v>500</v>
      </c>
      <c r="E5" s="111" t="s">
        <v>214</v>
      </c>
      <c r="F5" s="105">
        <f>3*10+5*10+4*10+3*10+3*10</f>
        <v>180</v>
      </c>
      <c r="G5" s="105">
        <f>3*10+4*10+4*7+4*10+4*10</f>
        <v>178</v>
      </c>
      <c r="H5" s="231">
        <f>計分版!D132</f>
        <v>1.9750000000000001E-8</v>
      </c>
      <c r="I5" s="106">
        <f t="shared" si="0"/>
        <v>-177.99999998025001</v>
      </c>
      <c r="J5" s="107">
        <f t="shared" si="1"/>
        <v>-9012658226.8481007</v>
      </c>
      <c r="K5" s="108">
        <v>27</v>
      </c>
      <c r="L5" s="109"/>
      <c r="M5" s="110">
        <f>入學要求!S142</f>
        <v>0</v>
      </c>
      <c r="N5" s="111"/>
      <c r="O5" s="111">
        <v>3</v>
      </c>
      <c r="P5" s="111">
        <v>3</v>
      </c>
      <c r="Q5" s="111">
        <v>2</v>
      </c>
      <c r="R5" s="111">
        <v>2</v>
      </c>
      <c r="S5" s="111">
        <v>3</v>
      </c>
      <c r="T5" s="111">
        <v>3</v>
      </c>
    </row>
    <row r="6" spans="1:20" s="99" customFormat="1" ht="18" customHeight="1">
      <c r="A6" s="19" t="s">
        <v>446</v>
      </c>
      <c r="B6" s="19" t="s">
        <v>858</v>
      </c>
      <c r="C6" s="19" t="s">
        <v>546</v>
      </c>
      <c r="D6" s="19" t="s">
        <v>501</v>
      </c>
      <c r="E6" s="255" t="s">
        <v>214</v>
      </c>
      <c r="F6" s="21">
        <f>4*7+4*10+5*10+4*7+4*5</f>
        <v>166</v>
      </c>
      <c r="G6" s="21">
        <f>4*7+4*10+4*10+5*7+4*5</f>
        <v>163</v>
      </c>
      <c r="H6" s="230">
        <f>計分版!D133</f>
        <v>1.9750000000000001E-8</v>
      </c>
      <c r="I6" s="91">
        <f t="shared" si="0"/>
        <v>-162.99999998025001</v>
      </c>
      <c r="J6" s="92">
        <f t="shared" si="1"/>
        <v>-8253164555.9620256</v>
      </c>
      <c r="K6" s="247">
        <v>37</v>
      </c>
      <c r="L6" s="93"/>
      <c r="M6" s="24">
        <f>入學要求!S143</f>
        <v>0</v>
      </c>
      <c r="N6" s="245"/>
      <c r="O6" s="245">
        <v>3</v>
      </c>
      <c r="P6" s="245">
        <v>3</v>
      </c>
      <c r="Q6" s="245">
        <v>2</v>
      </c>
      <c r="R6" s="245">
        <v>2</v>
      </c>
      <c r="S6" s="245">
        <v>3</v>
      </c>
      <c r="T6" s="245">
        <v>3</v>
      </c>
    </row>
    <row r="7" spans="1:20" s="112" customFormat="1" ht="18" customHeight="1">
      <c r="A7" s="104" t="s">
        <v>890</v>
      </c>
      <c r="B7" s="104" t="s">
        <v>858</v>
      </c>
      <c r="C7" s="104" t="s">
        <v>547</v>
      </c>
      <c r="D7" s="104" t="s">
        <v>502</v>
      </c>
      <c r="E7" s="111" t="s">
        <v>214</v>
      </c>
      <c r="F7" s="105">
        <f>4*7+4*10+4*7+4*7+4*5</f>
        <v>144</v>
      </c>
      <c r="G7" s="105">
        <f>4*7+4*10+4*7+3*7+4*5</f>
        <v>137</v>
      </c>
      <c r="H7" s="231">
        <f>計分版!D134</f>
        <v>3.875E-8</v>
      </c>
      <c r="I7" s="106">
        <f t="shared" si="0"/>
        <v>-136.99999996125001</v>
      </c>
      <c r="J7" s="107">
        <f t="shared" si="1"/>
        <v>-3535483869.9677424</v>
      </c>
      <c r="K7" s="108">
        <v>22</v>
      </c>
      <c r="L7" s="109"/>
      <c r="M7" s="110">
        <f>入學要求!S144</f>
        <v>0</v>
      </c>
      <c r="N7" s="111"/>
      <c r="O7" s="111">
        <v>3</v>
      </c>
      <c r="P7" s="111">
        <v>3</v>
      </c>
      <c r="Q7" s="111">
        <v>2</v>
      </c>
      <c r="R7" s="111">
        <v>2</v>
      </c>
      <c r="S7" s="111">
        <v>3</v>
      </c>
      <c r="T7" s="111">
        <v>3</v>
      </c>
    </row>
    <row r="8" spans="1:20" s="99" customFormat="1" ht="18" customHeight="1">
      <c r="A8" s="19" t="s">
        <v>448</v>
      </c>
      <c r="B8" s="19" t="s">
        <v>859</v>
      </c>
      <c r="C8" s="19" t="s">
        <v>548</v>
      </c>
      <c r="D8" s="19" t="s">
        <v>503</v>
      </c>
      <c r="E8" s="245" t="s">
        <v>214</v>
      </c>
      <c r="F8" s="21">
        <f>4*7+4*10+5*10+4*7+5*5</f>
        <v>171</v>
      </c>
      <c r="G8" s="21">
        <f>4*7+3*10+5*10+5*7+5*5</f>
        <v>168</v>
      </c>
      <c r="H8" s="230">
        <f>計分版!D135</f>
        <v>1.8250000000000001E-8</v>
      </c>
      <c r="I8" s="91">
        <f t="shared" si="0"/>
        <v>-167.99999998174999</v>
      </c>
      <c r="J8" s="92">
        <f t="shared" si="1"/>
        <v>-9205479451.0547943</v>
      </c>
      <c r="K8" s="247">
        <v>38</v>
      </c>
      <c r="L8" s="93"/>
      <c r="M8" s="24">
        <f>入學要求!S145</f>
        <v>0</v>
      </c>
      <c r="N8" s="245"/>
      <c r="O8" s="245">
        <v>3</v>
      </c>
      <c r="P8" s="245">
        <v>3</v>
      </c>
      <c r="Q8" s="245">
        <v>2</v>
      </c>
      <c r="R8" s="245">
        <v>2</v>
      </c>
      <c r="S8" s="245">
        <v>3</v>
      </c>
      <c r="T8" s="245">
        <v>3</v>
      </c>
    </row>
    <row r="9" spans="1:20" s="112" customFormat="1" ht="18" customHeight="1">
      <c r="A9" s="104" t="s">
        <v>449</v>
      </c>
      <c r="B9" s="104" t="s">
        <v>855</v>
      </c>
      <c r="C9" s="104" t="s">
        <v>549</v>
      </c>
      <c r="D9" s="104" t="s">
        <v>504</v>
      </c>
      <c r="E9" s="111" t="s">
        <v>606</v>
      </c>
      <c r="F9" s="105">
        <f>5*7+5*10+7*10+5*7+5*10+5*10</f>
        <v>290</v>
      </c>
      <c r="G9" s="105">
        <f>4*7+4*10+6*10+5*7+6*10+6*10</f>
        <v>283</v>
      </c>
      <c r="H9" s="231">
        <f>計分版!D136</f>
        <v>2.475E-8</v>
      </c>
      <c r="I9" s="106">
        <f t="shared" si="0"/>
        <v>-282.99999997524998</v>
      </c>
      <c r="J9" s="107">
        <f t="shared" si="1"/>
        <v>-11434343433.343433</v>
      </c>
      <c r="K9" s="108">
        <v>54</v>
      </c>
      <c r="L9" s="109"/>
      <c r="M9" s="110">
        <f>入學要求!S146</f>
        <v>0</v>
      </c>
      <c r="N9" s="111"/>
      <c r="O9" s="111">
        <v>3</v>
      </c>
      <c r="P9" s="111">
        <v>3</v>
      </c>
      <c r="Q9" s="111">
        <v>2</v>
      </c>
      <c r="R9" s="111">
        <v>2</v>
      </c>
      <c r="S9" s="111">
        <v>3</v>
      </c>
      <c r="T9" s="111">
        <v>3</v>
      </c>
    </row>
    <row r="10" spans="1:20" s="99" customFormat="1" ht="18" customHeight="1">
      <c r="A10" s="19" t="s">
        <v>450</v>
      </c>
      <c r="B10" s="19" t="s">
        <v>860</v>
      </c>
      <c r="C10" s="19" t="s">
        <v>550</v>
      </c>
      <c r="D10" s="19" t="s">
        <v>505</v>
      </c>
      <c r="E10" s="245" t="s">
        <v>214</v>
      </c>
      <c r="F10" s="21">
        <f>5*10+4*7+5*10+4*10+3*10</f>
        <v>198</v>
      </c>
      <c r="G10" s="21">
        <f>5*7+3*10+4*10+4*10+3*10</f>
        <v>175</v>
      </c>
      <c r="H10" s="230">
        <f>計分版!D137</f>
        <v>1.9750000000000001E-8</v>
      </c>
      <c r="I10" s="91">
        <f t="shared" si="0"/>
        <v>-174.99999998025001</v>
      </c>
      <c r="J10" s="92">
        <f t="shared" si="1"/>
        <v>-8860759492.6708851</v>
      </c>
      <c r="K10" s="247">
        <v>92</v>
      </c>
      <c r="L10" s="93"/>
      <c r="M10" s="24">
        <f>入學要求!S147</f>
        <v>0</v>
      </c>
      <c r="N10" s="245"/>
      <c r="O10" s="245">
        <v>3</v>
      </c>
      <c r="P10" s="245">
        <v>3</v>
      </c>
      <c r="Q10" s="245">
        <v>2</v>
      </c>
      <c r="R10" s="245">
        <v>2</v>
      </c>
      <c r="S10" s="245">
        <v>3</v>
      </c>
      <c r="T10" s="245">
        <v>3</v>
      </c>
    </row>
    <row r="11" spans="1:20" s="112" customFormat="1" ht="18" customHeight="1">
      <c r="A11" s="104" t="s">
        <v>451</v>
      </c>
      <c r="B11" s="104" t="s">
        <v>320</v>
      </c>
      <c r="C11" s="104" t="s">
        <v>551</v>
      </c>
      <c r="D11" s="104" t="s">
        <v>506</v>
      </c>
      <c r="E11" s="111" t="s">
        <v>214</v>
      </c>
      <c r="F11" s="105">
        <f>3*10+5*10+5*10+4*10+5*10</f>
        <v>220</v>
      </c>
      <c r="G11" s="105">
        <f>3*10+5*10+5*7+5*10+3*10</f>
        <v>195</v>
      </c>
      <c r="H11" s="231">
        <f>計分版!D138</f>
        <v>2.175E-8</v>
      </c>
      <c r="I11" s="106">
        <f t="shared" si="0"/>
        <v>-194.99999997825</v>
      </c>
      <c r="J11" s="107">
        <f t="shared" si="1"/>
        <v>-8965517240.3793106</v>
      </c>
      <c r="K11" s="108">
        <v>56</v>
      </c>
      <c r="L11" s="109"/>
      <c r="M11" s="110">
        <f>入學要求!S148</f>
        <v>0</v>
      </c>
      <c r="N11" s="111"/>
      <c r="O11" s="111">
        <v>3</v>
      </c>
      <c r="P11" s="111">
        <v>3</v>
      </c>
      <c r="Q11" s="111">
        <v>2</v>
      </c>
      <c r="R11" s="111">
        <v>2</v>
      </c>
      <c r="S11" s="111">
        <v>3</v>
      </c>
      <c r="T11" s="111">
        <v>3</v>
      </c>
    </row>
    <row r="12" spans="1:20" s="99" customFormat="1" ht="18" customHeight="1">
      <c r="A12" s="19" t="s">
        <v>452</v>
      </c>
      <c r="B12" s="19" t="s">
        <v>320</v>
      </c>
      <c r="C12" s="19" t="s">
        <v>552</v>
      </c>
      <c r="D12" s="19" t="s">
        <v>507</v>
      </c>
      <c r="E12" s="255" t="s">
        <v>214</v>
      </c>
      <c r="F12" s="21">
        <f>5*7+4*10+5*10+3*10+3*10</f>
        <v>185</v>
      </c>
      <c r="G12" s="21">
        <f>4*10+4*10+4*7+4*10+3*10</f>
        <v>178</v>
      </c>
      <c r="H12" s="230">
        <f>計分版!D139</f>
        <v>2.175E-8</v>
      </c>
      <c r="I12" s="91">
        <f t="shared" si="0"/>
        <v>-177.99999997825</v>
      </c>
      <c r="J12" s="92">
        <f t="shared" si="1"/>
        <v>-8183908044.9770117</v>
      </c>
      <c r="K12" s="247">
        <v>27</v>
      </c>
      <c r="L12" s="93"/>
      <c r="M12" s="24">
        <f>入學要求!S149</f>
        <v>0</v>
      </c>
      <c r="N12" s="245"/>
      <c r="O12" s="245">
        <v>3</v>
      </c>
      <c r="P12" s="245">
        <v>3</v>
      </c>
      <c r="Q12" s="245">
        <v>2</v>
      </c>
      <c r="R12" s="245">
        <v>2</v>
      </c>
      <c r="S12" s="245">
        <v>3</v>
      </c>
      <c r="T12" s="245">
        <v>3</v>
      </c>
    </row>
    <row r="13" spans="1:20" s="112" customFormat="1" ht="18" customHeight="1">
      <c r="A13" s="104" t="s">
        <v>453</v>
      </c>
      <c r="B13" s="104" t="s">
        <v>859</v>
      </c>
      <c r="C13" s="104" t="s">
        <v>553</v>
      </c>
      <c r="D13" s="104" t="s">
        <v>508</v>
      </c>
      <c r="E13" s="111" t="s">
        <v>214</v>
      </c>
      <c r="F13" s="105">
        <f>4*7+3*10+4*10+5*7+5*5</f>
        <v>158</v>
      </c>
      <c r="G13" s="105">
        <f>4*7+4*10+4*10+4*7+4*5</f>
        <v>156</v>
      </c>
      <c r="H13" s="231">
        <f>計分版!D140</f>
        <v>1.9750000000000001E-8</v>
      </c>
      <c r="I13" s="106">
        <f t="shared" si="0"/>
        <v>-155.99999998025001</v>
      </c>
      <c r="J13" s="107">
        <f t="shared" si="1"/>
        <v>-7898734176.2151899</v>
      </c>
      <c r="K13" s="108">
        <v>29</v>
      </c>
      <c r="L13" s="109"/>
      <c r="M13" s="110">
        <f>入學要求!S150</f>
        <v>0</v>
      </c>
      <c r="N13" s="111"/>
      <c r="O13" s="111">
        <v>3</v>
      </c>
      <c r="P13" s="111">
        <v>3</v>
      </c>
      <c r="Q13" s="111">
        <v>2</v>
      </c>
      <c r="R13" s="111">
        <v>2</v>
      </c>
      <c r="S13" s="111">
        <v>3</v>
      </c>
      <c r="T13" s="111">
        <v>3</v>
      </c>
    </row>
    <row r="14" spans="1:20" s="99" customFormat="1" ht="18" customHeight="1">
      <c r="A14" s="19" t="s">
        <v>454</v>
      </c>
      <c r="B14" s="19" t="s">
        <v>320</v>
      </c>
      <c r="C14" s="19" t="s">
        <v>554</v>
      </c>
      <c r="D14" s="19" t="s">
        <v>509</v>
      </c>
      <c r="E14" s="255" t="s">
        <v>214</v>
      </c>
      <c r="F14" s="21">
        <f>4*7+4*10+4*10+4*7+3*5</f>
        <v>151</v>
      </c>
      <c r="G14" s="21">
        <f>3*7+4*10+4*10+4*7+4*5</f>
        <v>149</v>
      </c>
      <c r="H14" s="230">
        <f>計分版!D141</f>
        <v>1.9750000000000001E-8</v>
      </c>
      <c r="I14" s="91">
        <f t="shared" si="0"/>
        <v>-148.99999998025001</v>
      </c>
      <c r="J14" s="92">
        <f t="shared" si="1"/>
        <v>-7544303796.4683542</v>
      </c>
      <c r="K14" s="247">
        <v>56</v>
      </c>
      <c r="L14" s="93"/>
      <c r="M14" s="24">
        <f>入學要求!S151</f>
        <v>0</v>
      </c>
      <c r="N14" s="245"/>
      <c r="O14" s="245">
        <v>3</v>
      </c>
      <c r="P14" s="245">
        <v>3</v>
      </c>
      <c r="Q14" s="245">
        <v>2</v>
      </c>
      <c r="R14" s="245">
        <v>2</v>
      </c>
      <c r="S14" s="245">
        <v>3</v>
      </c>
      <c r="T14" s="245">
        <v>3</v>
      </c>
    </row>
    <row r="15" spans="1:20" s="112" customFormat="1" ht="18" customHeight="1">
      <c r="A15" s="104" t="s">
        <v>455</v>
      </c>
      <c r="B15" s="104" t="s">
        <v>863</v>
      </c>
      <c r="C15" s="104" t="s">
        <v>555</v>
      </c>
      <c r="D15" s="104" t="s">
        <v>510</v>
      </c>
      <c r="E15" s="111" t="s">
        <v>214</v>
      </c>
      <c r="F15" s="105">
        <f>5*10+4*10+4*10+4*10+4*10</f>
        <v>210</v>
      </c>
      <c r="G15" s="105">
        <f>3*10+4*10+3*10+4*10+5*10</f>
        <v>190</v>
      </c>
      <c r="H15" s="231">
        <f>計分版!D142</f>
        <v>2.0749999999999997E-8</v>
      </c>
      <c r="I15" s="106">
        <f t="shared" si="0"/>
        <v>-189.99999997924999</v>
      </c>
      <c r="J15" s="107">
        <f t="shared" si="1"/>
        <v>-9156626505.0240974</v>
      </c>
      <c r="K15" s="108">
        <v>81</v>
      </c>
      <c r="L15" s="109"/>
      <c r="M15" s="110">
        <f>入學要求!S152</f>
        <v>0</v>
      </c>
      <c r="N15" s="111"/>
      <c r="O15" s="111">
        <v>3</v>
      </c>
      <c r="P15" s="111">
        <v>3</v>
      </c>
      <c r="Q15" s="111">
        <v>2</v>
      </c>
      <c r="R15" s="111">
        <v>2</v>
      </c>
      <c r="S15" s="111">
        <v>3</v>
      </c>
      <c r="T15" s="111">
        <v>3</v>
      </c>
    </row>
    <row r="16" spans="1:20" s="99" customFormat="1" ht="18" customHeight="1">
      <c r="A16" s="19" t="s">
        <v>456</v>
      </c>
      <c r="B16" s="19" t="s">
        <v>320</v>
      </c>
      <c r="C16" s="19" t="s">
        <v>556</v>
      </c>
      <c r="D16" s="19" t="s">
        <v>511</v>
      </c>
      <c r="E16" s="255" t="s">
        <v>214</v>
      </c>
      <c r="F16" s="21">
        <f>4*7+3*10+5*10+4*7+4*5</f>
        <v>156</v>
      </c>
      <c r="G16" s="21">
        <f>5*7+3*10+4*10+4*7+4*5</f>
        <v>153</v>
      </c>
      <c r="H16" s="230">
        <f>計分版!D143</f>
        <v>1.9750000000000001E-8</v>
      </c>
      <c r="I16" s="91">
        <f t="shared" si="0"/>
        <v>-152.99999998025001</v>
      </c>
      <c r="J16" s="92">
        <f t="shared" si="1"/>
        <v>-7746835442.0379744</v>
      </c>
      <c r="K16" s="247">
        <v>51</v>
      </c>
      <c r="L16" s="93"/>
      <c r="M16" s="24">
        <f>入學要求!S153</f>
        <v>0</v>
      </c>
      <c r="N16" s="245"/>
      <c r="O16" s="245">
        <v>3</v>
      </c>
      <c r="P16" s="245">
        <v>3</v>
      </c>
      <c r="Q16" s="245">
        <v>2</v>
      </c>
      <c r="R16" s="245">
        <v>2</v>
      </c>
      <c r="S16" s="245">
        <v>3</v>
      </c>
      <c r="T16" s="245">
        <v>3</v>
      </c>
    </row>
    <row r="17" spans="1:20" s="112" customFormat="1" ht="18" customHeight="1">
      <c r="A17" s="104" t="s">
        <v>457</v>
      </c>
      <c r="B17" s="104" t="s">
        <v>859</v>
      </c>
      <c r="C17" s="104" t="s">
        <v>557</v>
      </c>
      <c r="D17" s="104" t="s">
        <v>512</v>
      </c>
      <c r="E17" s="111" t="s">
        <v>214</v>
      </c>
      <c r="F17" s="105">
        <f>5*7+4*10+4*10+4*7+4*5</f>
        <v>163</v>
      </c>
      <c r="G17" s="105">
        <f>4*7+4*10+4*10+4*7+5*5</f>
        <v>161</v>
      </c>
      <c r="H17" s="231">
        <f>計分版!D144</f>
        <v>1.9750000000000001E-8</v>
      </c>
      <c r="I17" s="106">
        <f t="shared" si="0"/>
        <v>-160.99999998025001</v>
      </c>
      <c r="J17" s="107">
        <f t="shared" si="1"/>
        <v>-8151898733.1772146</v>
      </c>
      <c r="K17" s="108">
        <v>50</v>
      </c>
      <c r="L17" s="109"/>
      <c r="M17" s="110">
        <f>入學要求!S154</f>
        <v>0</v>
      </c>
      <c r="N17" s="111"/>
      <c r="O17" s="111">
        <v>3</v>
      </c>
      <c r="P17" s="111">
        <v>3</v>
      </c>
      <c r="Q17" s="111">
        <v>2</v>
      </c>
      <c r="R17" s="111">
        <v>2</v>
      </c>
      <c r="S17" s="111">
        <v>3</v>
      </c>
      <c r="T17" s="111">
        <v>3</v>
      </c>
    </row>
    <row r="18" spans="1:20" s="99" customFormat="1" ht="18" customHeight="1">
      <c r="A18" s="19" t="s">
        <v>458</v>
      </c>
      <c r="B18" s="19" t="s">
        <v>859</v>
      </c>
      <c r="C18" s="19" t="s">
        <v>558</v>
      </c>
      <c r="D18" s="19" t="s">
        <v>513</v>
      </c>
      <c r="E18" s="255" t="s">
        <v>214</v>
      </c>
      <c r="F18" s="21">
        <f>4*7+4*10+4*10+5*7+4*5</f>
        <v>163</v>
      </c>
      <c r="G18" s="21">
        <f>5*7+3*10+4*10+5*7+4*5</f>
        <v>160</v>
      </c>
      <c r="H18" s="230">
        <f>計分版!D145</f>
        <v>1.9750000000000001E-8</v>
      </c>
      <c r="I18" s="91">
        <f t="shared" si="0"/>
        <v>-159.99999998025001</v>
      </c>
      <c r="J18" s="92">
        <f t="shared" si="1"/>
        <v>-8101265821.7848101</v>
      </c>
      <c r="K18" s="247">
        <v>30</v>
      </c>
      <c r="L18" s="93"/>
      <c r="M18" s="24">
        <f>入學要求!S155</f>
        <v>0</v>
      </c>
      <c r="N18" s="245"/>
      <c r="O18" s="245">
        <v>3</v>
      </c>
      <c r="P18" s="245">
        <v>3</v>
      </c>
      <c r="Q18" s="245">
        <v>2</v>
      </c>
      <c r="R18" s="245">
        <v>2</v>
      </c>
      <c r="S18" s="245">
        <v>3</v>
      </c>
      <c r="T18" s="245">
        <v>3</v>
      </c>
    </row>
    <row r="19" spans="1:20" s="112" customFormat="1" ht="18" customHeight="1">
      <c r="A19" s="104" t="s">
        <v>459</v>
      </c>
      <c r="B19" s="104" t="s">
        <v>320</v>
      </c>
      <c r="C19" s="104" t="s">
        <v>559</v>
      </c>
      <c r="D19" s="104" t="s">
        <v>514</v>
      </c>
      <c r="E19" s="111" t="s">
        <v>82</v>
      </c>
      <c r="F19" s="105">
        <f>5*10+5*10+4*10+4*10+4*10</f>
        <v>220</v>
      </c>
      <c r="G19" s="105">
        <f>4*7+4*10+4*10+4*10+6*10</f>
        <v>208</v>
      </c>
      <c r="H19" s="231">
        <f>計分版!D146</f>
        <v>2.175E-8</v>
      </c>
      <c r="I19" s="106">
        <f t="shared" si="0"/>
        <v>-207.99999997825</v>
      </c>
      <c r="J19" s="107">
        <f t="shared" si="1"/>
        <v>-9563218389.8045979</v>
      </c>
      <c r="K19" s="108">
        <v>19</v>
      </c>
      <c r="L19" s="109"/>
      <c r="M19" s="110">
        <f>入學要求!S156</f>
        <v>0</v>
      </c>
      <c r="N19" s="111"/>
      <c r="O19" s="111">
        <v>3</v>
      </c>
      <c r="P19" s="111">
        <v>3</v>
      </c>
      <c r="Q19" s="111">
        <v>2</v>
      </c>
      <c r="R19" s="111">
        <v>2</v>
      </c>
      <c r="S19" s="111">
        <v>3</v>
      </c>
      <c r="T19" s="111">
        <v>3</v>
      </c>
    </row>
    <row r="20" spans="1:20" s="99" customFormat="1" ht="18" customHeight="1">
      <c r="A20" s="19" t="s">
        <v>460</v>
      </c>
      <c r="B20" s="19" t="s">
        <v>855</v>
      </c>
      <c r="C20" s="19" t="s">
        <v>560</v>
      </c>
      <c r="D20" s="19" t="s">
        <v>515</v>
      </c>
      <c r="E20" s="260" t="s">
        <v>606</v>
      </c>
      <c r="F20" s="21">
        <f>5*10+7*10+6*7+5*10+5*10+5*10</f>
        <v>312</v>
      </c>
      <c r="G20" s="21">
        <f>4*10+4*10+6*10+7*10+5*10+4*10</f>
        <v>300</v>
      </c>
      <c r="H20" s="230">
        <f>計分版!D147</f>
        <v>2.2750000000000002E-8</v>
      </c>
      <c r="I20" s="91">
        <f t="shared" si="0"/>
        <v>-299.99999997725001</v>
      </c>
      <c r="J20" s="92">
        <f t="shared" si="1"/>
        <v>-13186813185.813187</v>
      </c>
      <c r="K20" s="247">
        <v>110</v>
      </c>
      <c r="L20" s="93"/>
      <c r="M20" s="24">
        <f>入學要求!S157</f>
        <v>0</v>
      </c>
      <c r="N20" s="245"/>
      <c r="O20" s="245">
        <v>3</v>
      </c>
      <c r="P20" s="245">
        <v>3</v>
      </c>
      <c r="Q20" s="245">
        <v>2</v>
      </c>
      <c r="R20" s="245">
        <v>2</v>
      </c>
      <c r="S20" s="245">
        <v>3</v>
      </c>
      <c r="T20" s="245">
        <v>3</v>
      </c>
    </row>
    <row r="21" spans="1:20" s="112" customFormat="1" ht="18" customHeight="1">
      <c r="A21" s="104" t="s">
        <v>461</v>
      </c>
      <c r="B21" s="104" t="s">
        <v>855</v>
      </c>
      <c r="C21" s="104" t="s">
        <v>561</v>
      </c>
      <c r="D21" s="104" t="s">
        <v>516</v>
      </c>
      <c r="E21" s="111" t="s">
        <v>606</v>
      </c>
      <c r="F21" s="105">
        <f>7*10+6*10+4*7+6*7+5*10+4*10</f>
        <v>290</v>
      </c>
      <c r="G21" s="105">
        <f>4*10+4*10+6*7+4*7+6*10+6*10</f>
        <v>270</v>
      </c>
      <c r="H21" s="231">
        <f>計分版!D148</f>
        <v>2.255E-8</v>
      </c>
      <c r="I21" s="106">
        <f t="shared" si="0"/>
        <v>-269.99999997744999</v>
      </c>
      <c r="J21" s="107">
        <f t="shared" si="1"/>
        <v>-11973392460.197338</v>
      </c>
      <c r="K21" s="108">
        <v>100</v>
      </c>
      <c r="L21" s="109"/>
      <c r="M21" s="110">
        <f>入學要求!S158</f>
        <v>0</v>
      </c>
      <c r="N21" s="111"/>
      <c r="O21" s="111">
        <v>3</v>
      </c>
      <c r="P21" s="111">
        <v>3</v>
      </c>
      <c r="Q21" s="111">
        <v>2</v>
      </c>
      <c r="R21" s="111">
        <v>2</v>
      </c>
      <c r="S21" s="111">
        <v>3</v>
      </c>
      <c r="T21" s="111">
        <v>3</v>
      </c>
    </row>
    <row r="22" spans="1:20" s="99" customFormat="1" ht="18" customHeight="1">
      <c r="A22" s="19" t="s">
        <v>462</v>
      </c>
      <c r="B22" s="19" t="s">
        <v>855</v>
      </c>
      <c r="C22" s="19" t="s">
        <v>562</v>
      </c>
      <c r="D22" s="19" t="s">
        <v>517</v>
      </c>
      <c r="E22" s="245" t="s">
        <v>606</v>
      </c>
      <c r="F22" s="21">
        <f>5*10+4*10+6*7+5*7+6*10+6*10</f>
        <v>287</v>
      </c>
      <c r="G22" s="21">
        <f>6*10+5*10+5*7+6*7+5*10+5*10</f>
        <v>287</v>
      </c>
      <c r="H22" s="230">
        <f>計分版!D149</f>
        <v>2.255E-8</v>
      </c>
      <c r="I22" s="91">
        <f t="shared" si="0"/>
        <v>-286.99999997744999</v>
      </c>
      <c r="J22" s="92">
        <f t="shared" si="1"/>
        <v>-12727272726.272726</v>
      </c>
      <c r="K22" s="247">
        <v>150</v>
      </c>
      <c r="L22" s="93"/>
      <c r="M22" s="24">
        <f>入學要求!S159</f>
        <v>0</v>
      </c>
      <c r="N22" s="245"/>
      <c r="O22" s="245">
        <v>3</v>
      </c>
      <c r="P22" s="245">
        <v>3</v>
      </c>
      <c r="Q22" s="245">
        <v>2</v>
      </c>
      <c r="R22" s="245">
        <v>2</v>
      </c>
      <c r="S22" s="245">
        <v>3</v>
      </c>
      <c r="T22" s="245">
        <v>3</v>
      </c>
    </row>
    <row r="23" spans="1:20" s="112" customFormat="1" ht="18" customHeight="1">
      <c r="A23" s="104" t="s">
        <v>463</v>
      </c>
      <c r="B23" s="104" t="s">
        <v>855</v>
      </c>
      <c r="C23" s="104" t="s">
        <v>563</v>
      </c>
      <c r="D23" s="104" t="s">
        <v>518</v>
      </c>
      <c r="E23" s="111" t="s">
        <v>215</v>
      </c>
      <c r="F23" s="105">
        <f>6*10+4*10+5*10+4*10+4*10+4*5</f>
        <v>250</v>
      </c>
      <c r="G23" s="113">
        <f>4*10+4*10+4*10+4*10+6*10+5*5</f>
        <v>245</v>
      </c>
      <c r="H23" s="231">
        <f>計分版!D150</f>
        <v>1.925E-8</v>
      </c>
      <c r="I23" s="106">
        <f t="shared" si="0"/>
        <v>-244.99999998075</v>
      </c>
      <c r="J23" s="107">
        <f t="shared" si="1"/>
        <v>-12727272726.272728</v>
      </c>
      <c r="K23" s="108">
        <v>193</v>
      </c>
      <c r="L23" s="109"/>
      <c r="M23" s="110">
        <f>入學要求!S160</f>
        <v>0</v>
      </c>
      <c r="N23" s="111"/>
      <c r="O23" s="111">
        <v>3</v>
      </c>
      <c r="P23" s="111">
        <v>3</v>
      </c>
      <c r="Q23" s="111">
        <v>2</v>
      </c>
      <c r="R23" s="111">
        <v>2</v>
      </c>
      <c r="S23" s="111">
        <v>3</v>
      </c>
      <c r="T23" s="111">
        <v>3</v>
      </c>
    </row>
    <row r="24" spans="1:20" s="99" customFormat="1" ht="18" customHeight="1">
      <c r="A24" s="19" t="s">
        <v>464</v>
      </c>
      <c r="B24" s="19" t="s">
        <v>857</v>
      </c>
      <c r="C24" s="19" t="s">
        <v>564</v>
      </c>
      <c r="D24" s="19" t="s">
        <v>519</v>
      </c>
      <c r="E24" s="245" t="s">
        <v>606</v>
      </c>
      <c r="F24" s="21">
        <f>4*10+7*10+4*7+6*10+5*10+5*10</f>
        <v>298</v>
      </c>
      <c r="G24" s="21">
        <f>4*7+4*10+7*10+6*10+4*10+5*10</f>
        <v>288</v>
      </c>
      <c r="H24" s="230">
        <f>計分版!D151</f>
        <v>2.475E-8</v>
      </c>
      <c r="I24" s="91">
        <f t="shared" si="0"/>
        <v>-287.99999997524998</v>
      </c>
      <c r="J24" s="92">
        <f t="shared" si="1"/>
        <v>-11636363635.363636</v>
      </c>
      <c r="K24" s="247">
        <v>45</v>
      </c>
      <c r="L24" s="93"/>
      <c r="M24" s="24">
        <f>入學要求!S161</f>
        <v>0</v>
      </c>
      <c r="N24" s="245"/>
      <c r="O24" s="245">
        <v>3</v>
      </c>
      <c r="P24" s="245">
        <v>3</v>
      </c>
      <c r="Q24" s="245">
        <v>2</v>
      </c>
      <c r="R24" s="245">
        <v>2</v>
      </c>
      <c r="S24" s="245">
        <v>3</v>
      </c>
      <c r="T24" s="245">
        <v>3</v>
      </c>
    </row>
    <row r="25" spans="1:20" s="112" customFormat="1" ht="18" customHeight="1">
      <c r="A25" s="104" t="s">
        <v>465</v>
      </c>
      <c r="B25" s="104" t="s">
        <v>855</v>
      </c>
      <c r="C25" s="104" t="s">
        <v>565</v>
      </c>
      <c r="D25" s="104" t="s">
        <v>520</v>
      </c>
      <c r="E25" s="111" t="s">
        <v>215</v>
      </c>
      <c r="F25" s="105">
        <f>4*7+7*7+4*7+4*7+4*5+4*5</f>
        <v>173</v>
      </c>
      <c r="G25" s="105">
        <f>4*7+5*7+5*7+5*7+4*5+3*5</f>
        <v>168</v>
      </c>
      <c r="H25" s="231">
        <f>計分版!D152</f>
        <v>1.625E-8</v>
      </c>
      <c r="I25" s="106">
        <f t="shared" si="0"/>
        <v>-167.99999998375</v>
      </c>
      <c r="J25" s="107">
        <f t="shared" si="1"/>
        <v>-10338461537.461538</v>
      </c>
      <c r="K25" s="108">
        <v>32</v>
      </c>
      <c r="L25" s="109"/>
      <c r="M25" s="110">
        <f>入學要求!S162</f>
        <v>0</v>
      </c>
      <c r="N25" s="111"/>
      <c r="O25" s="111">
        <v>3</v>
      </c>
      <c r="P25" s="111">
        <v>3</v>
      </c>
      <c r="Q25" s="111">
        <v>2</v>
      </c>
      <c r="R25" s="111">
        <v>2</v>
      </c>
      <c r="S25" s="111">
        <v>3</v>
      </c>
      <c r="T25" s="111">
        <v>3</v>
      </c>
    </row>
    <row r="26" spans="1:20" s="99" customFormat="1" ht="18" customHeight="1">
      <c r="A26" s="19" t="s">
        <v>466</v>
      </c>
      <c r="B26" s="19" t="s">
        <v>859</v>
      </c>
      <c r="C26" s="19" t="s">
        <v>566</v>
      </c>
      <c r="D26" s="19" t="s">
        <v>521</v>
      </c>
      <c r="E26" s="255" t="s">
        <v>214</v>
      </c>
      <c r="F26" s="21">
        <f>5*7+3*10+4*10+5*7+4*5</f>
        <v>160</v>
      </c>
      <c r="G26" s="21">
        <f>4*7+3*10+5*10+4*7+4*5</f>
        <v>156</v>
      </c>
      <c r="H26" s="230">
        <f>計分版!D153</f>
        <v>1.9750000000000001E-8</v>
      </c>
      <c r="I26" s="91">
        <f t="shared" si="0"/>
        <v>-155.99999998025001</v>
      </c>
      <c r="J26" s="92">
        <f t="shared" si="1"/>
        <v>-7898734176.2151899</v>
      </c>
      <c r="K26" s="247">
        <v>31</v>
      </c>
      <c r="L26" s="93"/>
      <c r="M26" s="24">
        <f>入學要求!S163</f>
        <v>0</v>
      </c>
      <c r="N26" s="245"/>
      <c r="O26" s="245">
        <v>3</v>
      </c>
      <c r="P26" s="245">
        <v>3</v>
      </c>
      <c r="Q26" s="245">
        <v>2</v>
      </c>
      <c r="R26" s="245">
        <v>2</v>
      </c>
      <c r="S26" s="245">
        <v>3</v>
      </c>
      <c r="T26" s="245">
        <v>3</v>
      </c>
    </row>
    <row r="27" spans="1:20" s="112" customFormat="1" ht="18" customHeight="1">
      <c r="A27" s="104" t="s">
        <v>467</v>
      </c>
      <c r="B27" s="104" t="s">
        <v>320</v>
      </c>
      <c r="C27" s="104" t="s">
        <v>567</v>
      </c>
      <c r="D27" s="104" t="s">
        <v>522</v>
      </c>
      <c r="E27" s="111" t="s">
        <v>214</v>
      </c>
      <c r="F27" s="105">
        <f>3*10+4*10+4*10+4*10+4*10</f>
        <v>190</v>
      </c>
      <c r="G27" s="105">
        <f>4*7+4*10+4*10+4*10+4*10</f>
        <v>188</v>
      </c>
      <c r="H27" s="231">
        <f>計分版!D154</f>
        <v>2.175E-8</v>
      </c>
      <c r="I27" s="106">
        <f t="shared" si="0"/>
        <v>-187.99999997825</v>
      </c>
      <c r="J27" s="107">
        <f t="shared" si="1"/>
        <v>-8643678159.9195404</v>
      </c>
      <c r="K27" s="108">
        <v>37</v>
      </c>
      <c r="L27" s="109"/>
      <c r="M27" s="110">
        <f>入學要求!S164</f>
        <v>0</v>
      </c>
      <c r="N27" s="111"/>
      <c r="O27" s="111">
        <v>3</v>
      </c>
      <c r="P27" s="111">
        <v>3</v>
      </c>
      <c r="Q27" s="111">
        <v>2</v>
      </c>
      <c r="R27" s="111">
        <v>2</v>
      </c>
      <c r="S27" s="111">
        <v>3</v>
      </c>
      <c r="T27" s="111">
        <v>3</v>
      </c>
    </row>
    <row r="28" spans="1:20" s="99" customFormat="1" ht="18" customHeight="1">
      <c r="A28" s="19" t="s">
        <v>468</v>
      </c>
      <c r="B28" s="19" t="s">
        <v>320</v>
      </c>
      <c r="C28" s="19" t="s">
        <v>568</v>
      </c>
      <c r="D28" s="19" t="s">
        <v>523</v>
      </c>
      <c r="E28" s="245" t="s">
        <v>214</v>
      </c>
      <c r="F28" s="21">
        <f>3*10+6*10+4*10+4*10+4*10</f>
        <v>210</v>
      </c>
      <c r="G28" s="21">
        <f>4*10+5*10+4*10+4*10+3*10</f>
        <v>200</v>
      </c>
      <c r="H28" s="230">
        <f>計分版!D155</f>
        <v>2.175E-8</v>
      </c>
      <c r="I28" s="91">
        <f t="shared" si="0"/>
        <v>-199.99999997825</v>
      </c>
      <c r="J28" s="92">
        <f t="shared" si="1"/>
        <v>-9195402297.8505745</v>
      </c>
      <c r="K28" s="247">
        <v>39</v>
      </c>
      <c r="L28" s="93"/>
      <c r="M28" s="24">
        <f>入學要求!S165</f>
        <v>0</v>
      </c>
      <c r="N28" s="245"/>
      <c r="O28" s="245">
        <v>3</v>
      </c>
      <c r="P28" s="245">
        <v>3</v>
      </c>
      <c r="Q28" s="245">
        <v>2</v>
      </c>
      <c r="R28" s="245">
        <v>2</v>
      </c>
      <c r="S28" s="245">
        <v>3</v>
      </c>
      <c r="T28" s="245">
        <v>3</v>
      </c>
    </row>
    <row r="29" spans="1:20" s="112" customFormat="1" ht="18" customHeight="1">
      <c r="A29" s="104" t="s">
        <v>469</v>
      </c>
      <c r="B29" s="104" t="s">
        <v>858</v>
      </c>
      <c r="C29" s="104" t="s">
        <v>569</v>
      </c>
      <c r="D29" s="104" t="s">
        <v>524</v>
      </c>
      <c r="E29" s="111" t="s">
        <v>214</v>
      </c>
      <c r="F29" s="105">
        <f>4*7+3*10+5*10+4*10+5*10</f>
        <v>198</v>
      </c>
      <c r="G29" s="105">
        <f>4*7+4*10+4*10+4*7+4*10</f>
        <v>176</v>
      </c>
      <c r="H29" s="231">
        <f>計分版!D156</f>
        <v>2.2250000000000001E-8</v>
      </c>
      <c r="I29" s="106">
        <f t="shared" si="0"/>
        <v>-175.99999997775001</v>
      </c>
      <c r="J29" s="107">
        <f t="shared" si="1"/>
        <v>-7910112358.5505619</v>
      </c>
      <c r="K29" s="108">
        <v>62</v>
      </c>
      <c r="L29" s="109"/>
      <c r="M29" s="110">
        <f>入學要求!S166</f>
        <v>0</v>
      </c>
      <c r="N29" s="111"/>
      <c r="O29" s="111">
        <v>3</v>
      </c>
      <c r="P29" s="111">
        <v>3</v>
      </c>
      <c r="Q29" s="111">
        <v>2</v>
      </c>
      <c r="R29" s="111">
        <v>2</v>
      </c>
      <c r="S29" s="111">
        <v>3</v>
      </c>
      <c r="T29" s="111">
        <v>3</v>
      </c>
    </row>
    <row r="30" spans="1:20" s="99" customFormat="1" ht="18" customHeight="1">
      <c r="A30" s="19" t="s">
        <v>470</v>
      </c>
      <c r="B30" s="19" t="s">
        <v>320</v>
      </c>
      <c r="C30" s="19" t="s">
        <v>570</v>
      </c>
      <c r="D30" s="19" t="s">
        <v>525</v>
      </c>
      <c r="E30" s="255" t="s">
        <v>214</v>
      </c>
      <c r="F30" s="21">
        <f>4*10+4*10+4*7+5*10+5*10</f>
        <v>208</v>
      </c>
      <c r="G30" s="21">
        <f>3*10+4*10+3*10+3*10+5*10</f>
        <v>180</v>
      </c>
      <c r="H30" s="230">
        <f>計分版!D157</f>
        <v>2.175E-8</v>
      </c>
      <c r="I30" s="91">
        <f t="shared" si="0"/>
        <v>-179.99999997825</v>
      </c>
      <c r="J30" s="92">
        <f t="shared" si="1"/>
        <v>-8275862067.965518</v>
      </c>
      <c r="K30" s="247">
        <v>62</v>
      </c>
      <c r="L30" s="93"/>
      <c r="M30" s="24">
        <f>入學要求!S167</f>
        <v>0</v>
      </c>
      <c r="N30" s="245"/>
      <c r="O30" s="245">
        <v>3</v>
      </c>
      <c r="P30" s="245">
        <v>3</v>
      </c>
      <c r="Q30" s="245">
        <v>2</v>
      </c>
      <c r="R30" s="245">
        <v>2</v>
      </c>
      <c r="S30" s="245">
        <v>3</v>
      </c>
      <c r="T30" s="245">
        <v>3</v>
      </c>
    </row>
    <row r="31" spans="1:20" s="112" customFormat="1" ht="18" customHeight="1">
      <c r="A31" s="104" t="s">
        <v>471</v>
      </c>
      <c r="B31" s="104" t="s">
        <v>858</v>
      </c>
      <c r="C31" s="104" t="s">
        <v>571</v>
      </c>
      <c r="D31" s="104" t="s">
        <v>526</v>
      </c>
      <c r="E31" s="111" t="s">
        <v>214</v>
      </c>
      <c r="F31" s="105">
        <f>3*7+3*10+5*10+5*10+5*5</f>
        <v>176</v>
      </c>
      <c r="G31" s="105">
        <f>4*7+3*10+5*10+4*7+4*10</f>
        <v>176</v>
      </c>
      <c r="H31" s="231">
        <f>計分版!D158</f>
        <v>1.9750000000000001E-8</v>
      </c>
      <c r="I31" s="106">
        <f t="shared" si="0"/>
        <v>-175.99999998025001</v>
      </c>
      <c r="J31" s="107">
        <f t="shared" si="1"/>
        <v>-8911392404.0632915</v>
      </c>
      <c r="K31" s="108">
        <v>29</v>
      </c>
      <c r="L31" s="109"/>
      <c r="M31" s="110">
        <f>入學要求!S168</f>
        <v>0</v>
      </c>
      <c r="N31" s="111"/>
      <c r="O31" s="111">
        <v>3</v>
      </c>
      <c r="P31" s="111">
        <v>3</v>
      </c>
      <c r="Q31" s="111">
        <v>2</v>
      </c>
      <c r="R31" s="111">
        <v>2</v>
      </c>
      <c r="S31" s="111">
        <v>3</v>
      </c>
      <c r="T31" s="111">
        <v>3</v>
      </c>
    </row>
    <row r="32" spans="1:20" s="99" customFormat="1" ht="18" customHeight="1">
      <c r="A32" s="19" t="s">
        <v>472</v>
      </c>
      <c r="B32" s="19" t="s">
        <v>855</v>
      </c>
      <c r="C32" s="19" t="s">
        <v>572</v>
      </c>
      <c r="D32" s="19" t="s">
        <v>527</v>
      </c>
      <c r="E32" s="245" t="s">
        <v>215</v>
      </c>
      <c r="F32" s="21">
        <f>4*7+4*7+5*7+4*7+4*5+4*5</f>
        <v>159</v>
      </c>
      <c r="G32" s="21">
        <f>5*7+3*7+2*7+4*7+4*5+4*5</f>
        <v>138</v>
      </c>
      <c r="H32" s="230">
        <f>計分版!D159</f>
        <v>1.625E-8</v>
      </c>
      <c r="I32" s="91">
        <f t="shared" si="0"/>
        <v>-137.99999998375</v>
      </c>
      <c r="J32" s="92">
        <f t="shared" si="1"/>
        <v>-8492307691.3076925</v>
      </c>
      <c r="K32" s="247">
        <v>18</v>
      </c>
      <c r="L32" s="93"/>
      <c r="M32" s="24">
        <f>入學要求!S169</f>
        <v>0</v>
      </c>
      <c r="N32" s="245"/>
      <c r="O32" s="245">
        <v>3</v>
      </c>
      <c r="P32" s="245">
        <v>3</v>
      </c>
      <c r="Q32" s="245">
        <v>2</v>
      </c>
      <c r="R32" s="245">
        <v>2</v>
      </c>
      <c r="S32" s="245">
        <v>3</v>
      </c>
      <c r="T32" s="245">
        <v>3</v>
      </c>
    </row>
    <row r="33" spans="1:20" s="112" customFormat="1" ht="18" customHeight="1">
      <c r="A33" s="104" t="s">
        <v>473</v>
      </c>
      <c r="B33" s="104" t="s">
        <v>858</v>
      </c>
      <c r="C33" s="104" t="s">
        <v>573</v>
      </c>
      <c r="D33" s="104" t="s">
        <v>528</v>
      </c>
      <c r="E33" s="111" t="s">
        <v>214</v>
      </c>
      <c r="F33" s="105">
        <f>3*7+3*10+4*10+3*7+5*10</f>
        <v>162</v>
      </c>
      <c r="G33" s="105">
        <f>5*7+3*10+4*10+3*7+4*7</f>
        <v>154</v>
      </c>
      <c r="H33" s="231">
        <f>計分版!D160</f>
        <v>2.175E-8</v>
      </c>
      <c r="I33" s="106">
        <f t="shared" si="0"/>
        <v>-153.99999997825</v>
      </c>
      <c r="J33" s="107">
        <f t="shared" si="1"/>
        <v>-7080459769.1149426</v>
      </c>
      <c r="K33" s="108">
        <v>30</v>
      </c>
      <c r="L33" s="109"/>
      <c r="M33" s="110">
        <f>入學要求!S170</f>
        <v>0</v>
      </c>
      <c r="N33" s="111"/>
      <c r="O33" s="111">
        <v>3</v>
      </c>
      <c r="P33" s="111">
        <v>3</v>
      </c>
      <c r="Q33" s="111">
        <v>2</v>
      </c>
      <c r="R33" s="111">
        <v>2</v>
      </c>
      <c r="S33" s="111">
        <v>3</v>
      </c>
      <c r="T33" s="111">
        <v>3</v>
      </c>
    </row>
    <row r="34" spans="1:20" s="99" customFormat="1" ht="18" customHeight="1">
      <c r="A34" s="19" t="s">
        <v>474</v>
      </c>
      <c r="B34" s="19" t="s">
        <v>858</v>
      </c>
      <c r="C34" s="19" t="s">
        <v>574</v>
      </c>
      <c r="D34" s="19" t="s">
        <v>529</v>
      </c>
      <c r="E34" s="255" t="s">
        <v>214</v>
      </c>
      <c r="F34" s="21">
        <f>5*7+4*10+6*7+5*7+5*5</f>
        <v>177</v>
      </c>
      <c r="G34" s="21">
        <f>4*7+4*10+6*7+4*7+5*5</f>
        <v>163</v>
      </c>
      <c r="H34" s="230">
        <f>計分版!D161</f>
        <v>1.9750000000000001E-8</v>
      </c>
      <c r="I34" s="91">
        <f t="shared" si="0"/>
        <v>-162.99999998025001</v>
      </c>
      <c r="J34" s="92">
        <f t="shared" si="1"/>
        <v>-8253164555.9620256</v>
      </c>
      <c r="K34" s="247">
        <v>47</v>
      </c>
      <c r="L34" s="93"/>
      <c r="M34" s="24">
        <f>入學要求!S171</f>
        <v>0</v>
      </c>
      <c r="N34" s="245"/>
      <c r="O34" s="245">
        <v>3</v>
      </c>
      <c r="P34" s="245">
        <v>3</v>
      </c>
      <c r="Q34" s="245">
        <v>2</v>
      </c>
      <c r="R34" s="245">
        <v>2</v>
      </c>
      <c r="S34" s="245">
        <v>3</v>
      </c>
      <c r="T34" s="245">
        <v>3</v>
      </c>
    </row>
    <row r="35" spans="1:20" s="112" customFormat="1" ht="18" customHeight="1">
      <c r="A35" s="104" t="s">
        <v>475</v>
      </c>
      <c r="B35" s="104" t="s">
        <v>858</v>
      </c>
      <c r="C35" s="104" t="s">
        <v>575</v>
      </c>
      <c r="D35" s="104" t="s">
        <v>530</v>
      </c>
      <c r="E35" s="111" t="s">
        <v>214</v>
      </c>
      <c r="F35" s="105">
        <f>3*7+3*10+5*10+4*7+5*10</f>
        <v>179</v>
      </c>
      <c r="G35" s="105">
        <f>4*7+4*10+4*10+4*10+3*7</f>
        <v>169</v>
      </c>
      <c r="H35" s="231">
        <f>計分版!D162</f>
        <v>2.175E-8</v>
      </c>
      <c r="I35" s="106">
        <f t="shared" si="0"/>
        <v>-168.99999997825</v>
      </c>
      <c r="J35" s="107">
        <f t="shared" si="1"/>
        <v>-7770114941.5287361</v>
      </c>
      <c r="K35" s="108">
        <v>22</v>
      </c>
      <c r="L35" s="109"/>
      <c r="M35" s="110">
        <f>入學要求!S172</f>
        <v>0</v>
      </c>
      <c r="N35" s="111"/>
      <c r="O35" s="111">
        <v>3</v>
      </c>
      <c r="P35" s="111">
        <v>3</v>
      </c>
      <c r="Q35" s="111">
        <v>2</v>
      </c>
      <c r="R35" s="111">
        <v>2</v>
      </c>
      <c r="S35" s="111">
        <v>3</v>
      </c>
      <c r="T35" s="111">
        <v>3</v>
      </c>
    </row>
    <row r="36" spans="1:20" s="99" customFormat="1" ht="18" customHeight="1">
      <c r="A36" s="19" t="s">
        <v>476</v>
      </c>
      <c r="B36" s="19" t="s">
        <v>860</v>
      </c>
      <c r="C36" s="19" t="s">
        <v>576</v>
      </c>
      <c r="D36" s="19" t="s">
        <v>531</v>
      </c>
      <c r="E36" s="255" t="s">
        <v>214</v>
      </c>
      <c r="F36" s="21">
        <f>3*7+3*10+5*10+4*7+5*7</f>
        <v>164</v>
      </c>
      <c r="G36" s="21">
        <f>4*7+3*10+4*10+4*7+6*5</f>
        <v>156</v>
      </c>
      <c r="H36" s="230">
        <f>計分版!D163</f>
        <v>1.9750000000000001E-8</v>
      </c>
      <c r="I36" s="91">
        <f t="shared" si="0"/>
        <v>-155.99999998025001</v>
      </c>
      <c r="J36" s="92">
        <f t="shared" si="1"/>
        <v>-7898734176.2151899</v>
      </c>
      <c r="K36" s="247">
        <v>19</v>
      </c>
      <c r="L36" s="93"/>
      <c r="M36" s="24">
        <f>入學要求!S173</f>
        <v>0</v>
      </c>
      <c r="N36" s="245"/>
      <c r="O36" s="245">
        <v>3</v>
      </c>
      <c r="P36" s="245">
        <v>3</v>
      </c>
      <c r="Q36" s="245">
        <v>2</v>
      </c>
      <c r="R36" s="245">
        <v>2</v>
      </c>
      <c r="S36" s="245">
        <v>3</v>
      </c>
      <c r="T36" s="245">
        <v>3</v>
      </c>
    </row>
    <row r="37" spans="1:20" s="112" customFormat="1" ht="18" customHeight="1">
      <c r="A37" s="104" t="s">
        <v>477</v>
      </c>
      <c r="B37" s="104" t="s">
        <v>856</v>
      </c>
      <c r="C37" s="104" t="s">
        <v>577</v>
      </c>
      <c r="D37" s="104" t="s">
        <v>532</v>
      </c>
      <c r="E37" s="111" t="s">
        <v>607</v>
      </c>
      <c r="F37" s="105">
        <f>5*10+4*10+4*7+4*7+5*5</f>
        <v>171</v>
      </c>
      <c r="G37" s="105">
        <f>6*10+3*10+4*7+5*5+3*5</f>
        <v>158</v>
      </c>
      <c r="H37" s="231">
        <f>計分版!D164</f>
        <v>1.625E-8</v>
      </c>
      <c r="I37" s="106">
        <f t="shared" si="0"/>
        <v>-157.99999998375</v>
      </c>
      <c r="J37" s="107">
        <f t="shared" si="1"/>
        <v>-9723076922.0769234</v>
      </c>
      <c r="K37" s="108">
        <v>37</v>
      </c>
      <c r="L37" s="109"/>
      <c r="M37" s="110">
        <f>入學要求!S174</f>
        <v>0</v>
      </c>
      <c r="N37" s="111"/>
      <c r="O37" s="111">
        <v>3</v>
      </c>
      <c r="P37" s="111">
        <v>3</v>
      </c>
      <c r="Q37" s="111">
        <v>2</v>
      </c>
      <c r="R37" s="111">
        <v>2</v>
      </c>
      <c r="S37" s="111">
        <v>3</v>
      </c>
      <c r="T37" s="111">
        <v>3</v>
      </c>
    </row>
    <row r="38" spans="1:20" s="99" customFormat="1" ht="18" customHeight="1">
      <c r="A38" s="19" t="s">
        <v>478</v>
      </c>
      <c r="B38" s="19" t="s">
        <v>862</v>
      </c>
      <c r="C38" s="19" t="s">
        <v>578</v>
      </c>
      <c r="D38" s="19" t="s">
        <v>533</v>
      </c>
      <c r="E38" s="255" t="s">
        <v>214</v>
      </c>
      <c r="F38" s="21">
        <f>4*7+5*10+4*7+4*7+4*5</f>
        <v>154</v>
      </c>
      <c r="G38" s="21">
        <f>4*7+4*10+3*7+4*7+5*5</f>
        <v>142</v>
      </c>
      <c r="H38" s="230">
        <f>計分版!D165</f>
        <v>1.9750000000000001E-8</v>
      </c>
      <c r="I38" s="91">
        <f t="shared" si="0"/>
        <v>-141.99999998025001</v>
      </c>
      <c r="J38" s="92">
        <f t="shared" si="1"/>
        <v>-7189873416.7215185</v>
      </c>
      <c r="K38" s="247">
        <v>32</v>
      </c>
      <c r="L38" s="93"/>
      <c r="M38" s="24">
        <f>入學要求!S175</f>
        <v>0</v>
      </c>
      <c r="N38" s="245"/>
      <c r="O38" s="245">
        <v>3</v>
      </c>
      <c r="P38" s="245">
        <v>3</v>
      </c>
      <c r="Q38" s="245">
        <v>2</v>
      </c>
      <c r="R38" s="245">
        <v>2</v>
      </c>
      <c r="S38" s="245">
        <v>3</v>
      </c>
      <c r="T38" s="245">
        <v>3</v>
      </c>
    </row>
    <row r="39" spans="1:20" s="112" customFormat="1" ht="18" customHeight="1">
      <c r="A39" s="104" t="s">
        <v>479</v>
      </c>
      <c r="B39" s="104" t="s">
        <v>856</v>
      </c>
      <c r="C39" s="104" t="s">
        <v>579</v>
      </c>
      <c r="D39" s="104" t="s">
        <v>534</v>
      </c>
      <c r="E39" s="111" t="s">
        <v>607</v>
      </c>
      <c r="F39" s="105">
        <f>5*10+4*10+4*7+4*7+5*5</f>
        <v>171</v>
      </c>
      <c r="G39" s="105">
        <f>6*10+3*10+4*7+5*5+3*5</f>
        <v>158</v>
      </c>
      <c r="H39" s="231">
        <f>計分版!D166</f>
        <v>1.625E-8</v>
      </c>
      <c r="I39" s="106">
        <f t="shared" si="0"/>
        <v>-157.99999998375</v>
      </c>
      <c r="J39" s="107">
        <f t="shared" si="1"/>
        <v>-9723076922.0769234</v>
      </c>
      <c r="K39" s="108">
        <v>41</v>
      </c>
      <c r="L39" s="109"/>
      <c r="M39" s="110">
        <f>入學要求!S176</f>
        <v>0</v>
      </c>
      <c r="N39" s="111"/>
      <c r="O39" s="111">
        <v>3</v>
      </c>
      <c r="P39" s="111">
        <v>3</v>
      </c>
      <c r="Q39" s="111">
        <v>2</v>
      </c>
      <c r="R39" s="111">
        <v>2</v>
      </c>
      <c r="S39" s="111">
        <v>3</v>
      </c>
      <c r="T39" s="111">
        <v>3</v>
      </c>
    </row>
    <row r="40" spans="1:20" s="99" customFormat="1" ht="18" customHeight="1">
      <c r="A40" s="19" t="s">
        <v>480</v>
      </c>
      <c r="B40" s="19" t="s">
        <v>320</v>
      </c>
      <c r="C40" s="19" t="s">
        <v>1248</v>
      </c>
      <c r="D40" s="19" t="s">
        <v>535</v>
      </c>
      <c r="E40" s="245" t="s">
        <v>214</v>
      </c>
      <c r="F40" s="21">
        <f>4*10+4*10+4*10+4*10+3*10</f>
        <v>190</v>
      </c>
      <c r="G40" s="21">
        <f>4*10+4*10+4*7+4*10+4*10</f>
        <v>188</v>
      </c>
      <c r="H40" s="230">
        <f>計分版!D167</f>
        <v>2.175E-8</v>
      </c>
      <c r="I40" s="91">
        <f t="shared" si="0"/>
        <v>-187.99999997825</v>
      </c>
      <c r="J40" s="92">
        <f t="shared" si="1"/>
        <v>-8643678159.9195404</v>
      </c>
      <c r="K40" s="247">
        <v>110</v>
      </c>
      <c r="L40" s="93"/>
      <c r="M40" s="24">
        <f>入學要求!S177</f>
        <v>0</v>
      </c>
      <c r="N40" s="245"/>
      <c r="O40" s="245">
        <v>3</v>
      </c>
      <c r="P40" s="245">
        <v>3</v>
      </c>
      <c r="Q40" s="245">
        <v>2</v>
      </c>
      <c r="R40" s="245">
        <v>2</v>
      </c>
      <c r="S40" s="245">
        <v>3</v>
      </c>
      <c r="T40" s="245">
        <v>3</v>
      </c>
    </row>
    <row r="41" spans="1:20" s="112" customFormat="1" ht="18" customHeight="1">
      <c r="A41" s="104" t="s">
        <v>481</v>
      </c>
      <c r="B41" s="104" t="s">
        <v>862</v>
      </c>
      <c r="C41" s="104" t="s">
        <v>581</v>
      </c>
      <c r="D41" s="104" t="s">
        <v>536</v>
      </c>
      <c r="E41" s="111" t="s">
        <v>82</v>
      </c>
      <c r="F41" s="105">
        <f>4*7+5*10+4*7+5*7+4*5</f>
        <v>161</v>
      </c>
      <c r="G41" s="105">
        <f>5*7+4*10+5*7+3*7+4*5</f>
        <v>151</v>
      </c>
      <c r="H41" s="231">
        <f>計分版!D168</f>
        <v>1.9750000000000001E-8</v>
      </c>
      <c r="I41" s="106">
        <f t="shared" si="0"/>
        <v>-150.99999998025001</v>
      </c>
      <c r="J41" s="107">
        <f t="shared" si="1"/>
        <v>-7645569619.2531643</v>
      </c>
      <c r="K41" s="108">
        <v>45</v>
      </c>
      <c r="L41" s="109"/>
      <c r="M41" s="110">
        <f>入學要求!S178</f>
        <v>0</v>
      </c>
      <c r="N41" s="111"/>
      <c r="O41" s="111">
        <v>3</v>
      </c>
      <c r="P41" s="111">
        <v>3</v>
      </c>
      <c r="Q41" s="111">
        <v>2</v>
      </c>
      <c r="R41" s="111">
        <v>2</v>
      </c>
      <c r="S41" s="111">
        <v>3</v>
      </c>
      <c r="T41" s="111">
        <v>3</v>
      </c>
    </row>
    <row r="42" spans="1:20" s="99" customFormat="1" ht="18" customHeight="1">
      <c r="A42" s="19" t="s">
        <v>482</v>
      </c>
      <c r="B42" s="19" t="s">
        <v>859</v>
      </c>
      <c r="C42" s="19" t="s">
        <v>582</v>
      </c>
      <c r="D42" s="19" t="s">
        <v>537</v>
      </c>
      <c r="E42" s="255" t="s">
        <v>214</v>
      </c>
      <c r="F42" s="21">
        <f>4*7+4*10+5*10+4*7+4*5</f>
        <v>166</v>
      </c>
      <c r="G42" s="21">
        <f>3*7+4*10+4*10+5*7+4*5</f>
        <v>156</v>
      </c>
      <c r="H42" s="230">
        <f>計分版!D169</f>
        <v>1.9750000000000001E-8</v>
      </c>
      <c r="I42" s="91">
        <f t="shared" si="0"/>
        <v>-155.99999998025001</v>
      </c>
      <c r="J42" s="92">
        <f t="shared" si="1"/>
        <v>-7898734176.2151899</v>
      </c>
      <c r="K42" s="247">
        <v>58</v>
      </c>
      <c r="L42" s="93"/>
      <c r="M42" s="24">
        <f>入學要求!S179</f>
        <v>0</v>
      </c>
      <c r="N42" s="245"/>
      <c r="O42" s="245">
        <v>3</v>
      </c>
      <c r="P42" s="245">
        <v>3</v>
      </c>
      <c r="Q42" s="245">
        <v>2</v>
      </c>
      <c r="R42" s="245">
        <v>2</v>
      </c>
      <c r="S42" s="245">
        <v>3</v>
      </c>
      <c r="T42" s="245">
        <v>3</v>
      </c>
    </row>
    <row r="43" spans="1:20" s="112" customFormat="1" ht="18" customHeight="1">
      <c r="A43" s="104" t="s">
        <v>483</v>
      </c>
      <c r="B43" s="104" t="s">
        <v>859</v>
      </c>
      <c r="C43" s="104" t="s">
        <v>583</v>
      </c>
      <c r="D43" s="104" t="s">
        <v>538</v>
      </c>
      <c r="E43" s="111" t="s">
        <v>214</v>
      </c>
      <c r="F43" s="105">
        <f>5*7+3*10+4*10+5*7+5*5</f>
        <v>165</v>
      </c>
      <c r="G43" s="105">
        <f>3*7+4*10+5*10+4*7+4*5</f>
        <v>159</v>
      </c>
      <c r="H43" s="231">
        <f>計分版!D170</f>
        <v>2.0249999999999999E-8</v>
      </c>
      <c r="I43" s="106">
        <f t="shared" si="0"/>
        <v>-158.99999997974999</v>
      </c>
      <c r="J43" s="107">
        <f t="shared" si="1"/>
        <v>-7851851850.8518515</v>
      </c>
      <c r="K43" s="108">
        <v>108</v>
      </c>
      <c r="L43" s="109"/>
      <c r="M43" s="110">
        <f>入學要求!S180</f>
        <v>0</v>
      </c>
      <c r="N43" s="111"/>
      <c r="O43" s="111">
        <v>3</v>
      </c>
      <c r="P43" s="111">
        <v>3</v>
      </c>
      <c r="Q43" s="111">
        <v>2</v>
      </c>
      <c r="R43" s="111">
        <v>2</v>
      </c>
      <c r="S43" s="111">
        <v>3</v>
      </c>
      <c r="T43" s="111">
        <v>3</v>
      </c>
    </row>
    <row r="44" spans="1:20" s="99" customFormat="1" ht="18" customHeight="1">
      <c r="A44" s="19" t="s">
        <v>484</v>
      </c>
      <c r="B44" s="19" t="s">
        <v>861</v>
      </c>
      <c r="C44" s="19" t="s">
        <v>584</v>
      </c>
      <c r="D44" s="19" t="s">
        <v>539</v>
      </c>
      <c r="E44" s="245" t="s">
        <v>214</v>
      </c>
      <c r="F44" s="121">
        <f>5*7+3*10+4*10+3*7+4*10</f>
        <v>166</v>
      </c>
      <c r="G44" s="121">
        <f>4*7+4*10+4*10+4*7+4*7</f>
        <v>164</v>
      </c>
      <c r="H44" s="230">
        <f>計分版!D171</f>
        <v>1.9750000000000001E-8</v>
      </c>
      <c r="I44" s="91">
        <f t="shared" si="0"/>
        <v>-163.99999998025001</v>
      </c>
      <c r="J44" s="92">
        <f t="shared" si="1"/>
        <v>-8303797467.3544302</v>
      </c>
      <c r="K44" s="247">
        <v>26</v>
      </c>
      <c r="L44" s="19"/>
      <c r="M44" s="24">
        <f>入學要求!S181</f>
        <v>0</v>
      </c>
      <c r="N44" s="245"/>
      <c r="O44" s="245">
        <v>3</v>
      </c>
      <c r="P44" s="245">
        <v>3</v>
      </c>
      <c r="Q44" s="245">
        <v>2</v>
      </c>
      <c r="R44" s="245">
        <v>2</v>
      </c>
      <c r="S44" s="245">
        <v>3</v>
      </c>
      <c r="T44" s="245">
        <v>3</v>
      </c>
    </row>
    <row r="45" spans="1:20" s="112" customFormat="1" ht="18" customHeight="1">
      <c r="A45" s="104" t="s">
        <v>485</v>
      </c>
      <c r="B45" s="104" t="s">
        <v>860</v>
      </c>
      <c r="C45" s="104" t="s">
        <v>585</v>
      </c>
      <c r="D45" s="104" t="s">
        <v>540</v>
      </c>
      <c r="E45" s="111" t="s">
        <v>214</v>
      </c>
      <c r="F45" s="113">
        <f>4*7+4*10+4*10+4*10+3*10</f>
        <v>178</v>
      </c>
      <c r="G45" s="113">
        <f>4*7+4*10+4*10+4*10+3*5</f>
        <v>163</v>
      </c>
      <c r="H45" s="231">
        <f>計分版!D172</f>
        <v>2.175E-8</v>
      </c>
      <c r="I45" s="106">
        <f t="shared" si="0"/>
        <v>-162.99999997825</v>
      </c>
      <c r="J45" s="107">
        <f t="shared" si="1"/>
        <v>-7494252872.5632191</v>
      </c>
      <c r="K45" s="108">
        <v>25</v>
      </c>
      <c r="L45" s="104"/>
      <c r="M45" s="110">
        <f>入學要求!S182</f>
        <v>0</v>
      </c>
      <c r="N45" s="111"/>
      <c r="O45" s="111">
        <v>3</v>
      </c>
      <c r="P45" s="111">
        <v>3</v>
      </c>
      <c r="Q45" s="111">
        <v>2</v>
      </c>
      <c r="R45" s="111">
        <v>2</v>
      </c>
      <c r="S45" s="111">
        <v>3</v>
      </c>
      <c r="T45" s="111">
        <v>3</v>
      </c>
    </row>
    <row r="46" spans="1:20" s="99" customFormat="1" ht="18" customHeight="1">
      <c r="A46" s="19" t="s">
        <v>486</v>
      </c>
      <c r="B46" s="19" t="s">
        <v>860</v>
      </c>
      <c r="C46" s="19" t="s">
        <v>586</v>
      </c>
      <c r="D46" s="19" t="s">
        <v>541</v>
      </c>
      <c r="E46" s="245" t="s">
        <v>214</v>
      </c>
      <c r="F46" s="121">
        <f>3*7+3*10+5*10+3*7+4*10</f>
        <v>162</v>
      </c>
      <c r="G46" s="121">
        <f>3*7+4*10+4*10+3*7+4*10</f>
        <v>162</v>
      </c>
      <c r="H46" s="230">
        <f>計分版!D173</f>
        <v>1.9750000000000001E-8</v>
      </c>
      <c r="I46" s="91">
        <f t="shared" si="0"/>
        <v>-161.99999998025001</v>
      </c>
      <c r="J46" s="92">
        <f t="shared" si="1"/>
        <v>-8202531644.5696201</v>
      </c>
      <c r="K46" s="247">
        <v>26</v>
      </c>
      <c r="L46" s="19"/>
      <c r="M46" s="24">
        <f>入學要求!S183</f>
        <v>0</v>
      </c>
      <c r="N46" s="245"/>
      <c r="O46" s="245">
        <v>3</v>
      </c>
      <c r="P46" s="245">
        <v>3</v>
      </c>
      <c r="Q46" s="245">
        <v>2</v>
      </c>
      <c r="R46" s="245">
        <v>2</v>
      </c>
      <c r="S46" s="245">
        <v>3</v>
      </c>
      <c r="T46" s="245">
        <v>3</v>
      </c>
    </row>
    <row r="47" spans="1:20" s="112" customFormat="1" ht="18" customHeight="1">
      <c r="A47" s="104"/>
      <c r="B47" s="104"/>
      <c r="C47" s="104"/>
      <c r="D47" s="104"/>
      <c r="E47" s="111"/>
      <c r="F47" s="108" t="s">
        <v>867</v>
      </c>
      <c r="G47" s="104"/>
      <c r="H47" s="104"/>
      <c r="I47" s="104"/>
      <c r="J47" s="104"/>
      <c r="K47" s="104"/>
      <c r="L47" s="104"/>
      <c r="M47" s="104"/>
      <c r="N47" s="104"/>
      <c r="O47" s="259" t="s">
        <v>405</v>
      </c>
      <c r="P47" s="259" t="s">
        <v>406</v>
      </c>
      <c r="Q47" s="259" t="s">
        <v>1244</v>
      </c>
      <c r="R47" s="259"/>
      <c r="S47" s="259"/>
      <c r="T47" s="104"/>
    </row>
    <row r="48" spans="1:20" s="99" customFormat="1" ht="18" customHeight="1">
      <c r="A48" s="19" t="s">
        <v>487</v>
      </c>
      <c r="B48" s="19" t="s">
        <v>861</v>
      </c>
      <c r="C48" s="19" t="s">
        <v>596</v>
      </c>
      <c r="D48" s="19" t="s">
        <v>587</v>
      </c>
      <c r="E48" s="245" t="s">
        <v>607</v>
      </c>
      <c r="F48" s="247">
        <v>15.2</v>
      </c>
      <c r="G48" s="19"/>
      <c r="H48" s="230">
        <f>計分版!D174</f>
        <v>2.9500000000000004E-9</v>
      </c>
      <c r="I48" s="91">
        <f>H48-F48</f>
        <v>-15.19999999705</v>
      </c>
      <c r="J48" s="92">
        <f t="shared" ref="J48:J57" si="2">(H48-F48)/H48</f>
        <v>-5152542371.8813553</v>
      </c>
      <c r="K48" s="247">
        <v>51</v>
      </c>
      <c r="L48" s="19"/>
      <c r="M48" s="24">
        <f>入學要求!S185</f>
        <v>0</v>
      </c>
      <c r="N48" s="19"/>
      <c r="O48" s="245">
        <v>2</v>
      </c>
      <c r="P48" s="245">
        <v>2</v>
      </c>
      <c r="Q48" s="245">
        <v>2</v>
      </c>
      <c r="R48" s="245">
        <v>2</v>
      </c>
      <c r="S48" s="245">
        <v>2</v>
      </c>
      <c r="T48" s="19"/>
    </row>
    <row r="49" spans="1:20" s="112" customFormat="1" ht="18" customHeight="1">
      <c r="A49" s="104" t="s">
        <v>488</v>
      </c>
      <c r="B49" s="104" t="s">
        <v>858</v>
      </c>
      <c r="C49" s="104" t="s">
        <v>597</v>
      </c>
      <c r="D49" s="104" t="s">
        <v>588</v>
      </c>
      <c r="E49" s="111" t="s">
        <v>607</v>
      </c>
      <c r="F49" s="108">
        <v>16.5</v>
      </c>
      <c r="G49" s="104"/>
      <c r="H49" s="231">
        <f>計分版!D175</f>
        <v>2.9500000000000004E-9</v>
      </c>
      <c r="I49" s="106">
        <f t="shared" ref="I49:I57" si="3">H49-F49</f>
        <v>-16.499999997050001</v>
      </c>
      <c r="J49" s="107">
        <f>(H49-F49)/H49</f>
        <v>-5593220337.9830503</v>
      </c>
      <c r="K49" s="108">
        <v>75</v>
      </c>
      <c r="L49" s="104"/>
      <c r="M49" s="110">
        <f>入學要求!S186</f>
        <v>0</v>
      </c>
      <c r="N49" s="104"/>
      <c r="O49" s="111">
        <v>2</v>
      </c>
      <c r="P49" s="111">
        <v>2</v>
      </c>
      <c r="Q49" s="111">
        <v>2</v>
      </c>
      <c r="R49" s="111">
        <v>2</v>
      </c>
      <c r="S49" s="111">
        <v>2</v>
      </c>
      <c r="T49" s="104"/>
    </row>
    <row r="50" spans="1:20" s="99" customFormat="1" ht="18" customHeight="1">
      <c r="A50" s="19" t="s">
        <v>489</v>
      </c>
      <c r="B50" s="19" t="s">
        <v>858</v>
      </c>
      <c r="C50" s="19" t="s">
        <v>598</v>
      </c>
      <c r="D50" s="19" t="s">
        <v>589</v>
      </c>
      <c r="E50" s="245" t="s">
        <v>607</v>
      </c>
      <c r="F50" s="247">
        <v>17.3</v>
      </c>
      <c r="G50" s="19"/>
      <c r="H50" s="230">
        <f>計分版!D176</f>
        <v>2.9500000000000004E-9</v>
      </c>
      <c r="I50" s="91">
        <f t="shared" si="3"/>
        <v>-17.299999997050001</v>
      </c>
      <c r="J50" s="92">
        <f t="shared" si="2"/>
        <v>-5864406778.6610165</v>
      </c>
      <c r="K50" s="247">
        <v>40</v>
      </c>
      <c r="L50" s="19"/>
      <c r="M50" s="24">
        <f>入學要求!S187</f>
        <v>0</v>
      </c>
      <c r="N50" s="19"/>
      <c r="O50" s="245">
        <v>2</v>
      </c>
      <c r="P50" s="245">
        <v>2</v>
      </c>
      <c r="Q50" s="245">
        <v>2</v>
      </c>
      <c r="R50" s="245">
        <v>2</v>
      </c>
      <c r="S50" s="245">
        <v>2</v>
      </c>
      <c r="T50" s="19"/>
    </row>
    <row r="51" spans="1:20" s="112" customFormat="1" ht="18" customHeight="1">
      <c r="A51" s="104" t="s">
        <v>490</v>
      </c>
      <c r="B51" s="104" t="s">
        <v>860</v>
      </c>
      <c r="C51" s="104" t="s">
        <v>599</v>
      </c>
      <c r="D51" s="104" t="s">
        <v>864</v>
      </c>
      <c r="E51" s="111" t="s">
        <v>607</v>
      </c>
      <c r="F51" s="108">
        <v>17.8</v>
      </c>
      <c r="G51" s="104"/>
      <c r="H51" s="231">
        <f>計分版!D177</f>
        <v>2.9500000000000004E-9</v>
      </c>
      <c r="I51" s="106">
        <f t="shared" si="3"/>
        <v>-17.799999997050001</v>
      </c>
      <c r="J51" s="107">
        <f t="shared" si="2"/>
        <v>-6033898304.0847454</v>
      </c>
      <c r="K51" s="108">
        <v>48</v>
      </c>
      <c r="L51" s="104"/>
      <c r="M51" s="110">
        <f>入學要求!S188</f>
        <v>0</v>
      </c>
      <c r="N51" s="104"/>
      <c r="O51" s="111">
        <v>2</v>
      </c>
      <c r="P51" s="111">
        <v>2</v>
      </c>
      <c r="Q51" s="111">
        <v>2</v>
      </c>
      <c r="R51" s="111">
        <v>2</v>
      </c>
      <c r="S51" s="111">
        <v>2</v>
      </c>
      <c r="T51" s="104"/>
    </row>
    <row r="52" spans="1:20" s="99" customFormat="1" ht="18" customHeight="1">
      <c r="A52" s="19" t="s">
        <v>491</v>
      </c>
      <c r="B52" s="19" t="s">
        <v>858</v>
      </c>
      <c r="C52" s="19" t="s">
        <v>600</v>
      </c>
      <c r="D52" s="19" t="s">
        <v>590</v>
      </c>
      <c r="E52" s="245" t="s">
        <v>607</v>
      </c>
      <c r="F52" s="247">
        <v>18.600000000000001</v>
      </c>
      <c r="G52" s="19"/>
      <c r="H52" s="230">
        <f>計分版!D178</f>
        <v>2.9500000000000004E-9</v>
      </c>
      <c r="I52" s="91">
        <f t="shared" si="3"/>
        <v>-18.599999997050002</v>
      </c>
      <c r="J52" s="92">
        <f t="shared" si="2"/>
        <v>-6305084744.7627115</v>
      </c>
      <c r="K52" s="247">
        <v>73</v>
      </c>
      <c r="L52" s="19"/>
      <c r="M52" s="24">
        <f>入學要求!S189</f>
        <v>0</v>
      </c>
      <c r="N52" s="19"/>
      <c r="O52" s="245">
        <v>2</v>
      </c>
      <c r="P52" s="245">
        <v>2</v>
      </c>
      <c r="Q52" s="245">
        <v>2</v>
      </c>
      <c r="R52" s="245">
        <v>2</v>
      </c>
      <c r="S52" s="245">
        <v>2</v>
      </c>
      <c r="T52" s="19"/>
    </row>
    <row r="53" spans="1:20" s="112" customFormat="1" ht="18" customHeight="1">
      <c r="A53" s="104" t="s">
        <v>492</v>
      </c>
      <c r="B53" s="104" t="s">
        <v>320</v>
      </c>
      <c r="C53" s="104" t="s">
        <v>601</v>
      </c>
      <c r="D53" s="104" t="s">
        <v>591</v>
      </c>
      <c r="E53" s="111" t="s">
        <v>607</v>
      </c>
      <c r="F53" s="108">
        <v>17.3</v>
      </c>
      <c r="G53" s="104"/>
      <c r="H53" s="231">
        <f>計分版!D179</f>
        <v>2.9500000000000004E-9</v>
      </c>
      <c r="I53" s="106">
        <f t="shared" si="3"/>
        <v>-17.299999997050001</v>
      </c>
      <c r="J53" s="107">
        <f t="shared" si="2"/>
        <v>-5864406778.6610165</v>
      </c>
      <c r="K53" s="108">
        <v>53</v>
      </c>
      <c r="L53" s="104"/>
      <c r="M53" s="110">
        <f>入學要求!S190</f>
        <v>0</v>
      </c>
      <c r="N53" s="104"/>
      <c r="O53" s="111">
        <v>2</v>
      </c>
      <c r="P53" s="111">
        <v>2</v>
      </c>
      <c r="Q53" s="111">
        <v>2</v>
      </c>
      <c r="R53" s="111">
        <v>2</v>
      </c>
      <c r="S53" s="111">
        <v>2</v>
      </c>
      <c r="T53" s="104"/>
    </row>
    <row r="54" spans="1:20" s="99" customFormat="1" ht="18" customHeight="1">
      <c r="A54" s="19" t="s">
        <v>493</v>
      </c>
      <c r="B54" s="19" t="s">
        <v>320</v>
      </c>
      <c r="C54" s="19" t="s">
        <v>602</v>
      </c>
      <c r="D54" s="19" t="s">
        <v>592</v>
      </c>
      <c r="E54" s="255" t="s">
        <v>1247</v>
      </c>
      <c r="F54" s="247">
        <v>17.600000000000001</v>
      </c>
      <c r="G54" s="19"/>
      <c r="H54" s="230">
        <f>計分版!D180</f>
        <v>2.9500000000000004E-9</v>
      </c>
      <c r="I54" s="91">
        <f t="shared" si="3"/>
        <v>-17.599999997050002</v>
      </c>
      <c r="J54" s="92">
        <f t="shared" si="2"/>
        <v>-5966101693.9152546</v>
      </c>
      <c r="K54" s="247">
        <v>88</v>
      </c>
      <c r="L54" s="19"/>
      <c r="M54" s="24">
        <f>入學要求!S191</f>
        <v>0</v>
      </c>
      <c r="N54" s="19"/>
      <c r="O54" s="245">
        <v>2</v>
      </c>
      <c r="P54" s="245">
        <v>2</v>
      </c>
      <c r="Q54" s="245">
        <v>2</v>
      </c>
      <c r="R54" s="245">
        <v>2</v>
      </c>
      <c r="S54" s="245">
        <v>2</v>
      </c>
      <c r="T54" s="19"/>
    </row>
    <row r="55" spans="1:20" s="112" customFormat="1" ht="18" customHeight="1">
      <c r="A55" s="104" t="s">
        <v>494</v>
      </c>
      <c r="B55" s="104" t="s">
        <v>858</v>
      </c>
      <c r="C55" s="104" t="s">
        <v>603</v>
      </c>
      <c r="D55" s="104" t="s">
        <v>593</v>
      </c>
      <c r="E55" s="111" t="s">
        <v>607</v>
      </c>
      <c r="F55" s="108">
        <v>17.7</v>
      </c>
      <c r="G55" s="104"/>
      <c r="H55" s="231">
        <f>計分版!D181</f>
        <v>2.9500000000000004E-9</v>
      </c>
      <c r="I55" s="106">
        <f t="shared" si="3"/>
        <v>-17.69999999705</v>
      </c>
      <c r="J55" s="107">
        <f t="shared" si="2"/>
        <v>-5999999998.999999</v>
      </c>
      <c r="K55" s="108">
        <v>71</v>
      </c>
      <c r="L55" s="104"/>
      <c r="M55" s="110">
        <f>入學要求!S192</f>
        <v>0</v>
      </c>
      <c r="N55" s="104"/>
      <c r="O55" s="111">
        <v>2</v>
      </c>
      <c r="P55" s="111">
        <v>2</v>
      </c>
      <c r="Q55" s="111">
        <v>2</v>
      </c>
      <c r="R55" s="111">
        <v>2</v>
      </c>
      <c r="S55" s="111">
        <v>2</v>
      </c>
      <c r="T55" s="104"/>
    </row>
    <row r="56" spans="1:20" s="99" customFormat="1" ht="18" customHeight="1">
      <c r="A56" s="19" t="s">
        <v>495</v>
      </c>
      <c r="B56" s="19" t="s">
        <v>320</v>
      </c>
      <c r="C56" s="19" t="s">
        <v>604</v>
      </c>
      <c r="D56" s="19" t="s">
        <v>594</v>
      </c>
      <c r="E56" s="255" t="s">
        <v>1247</v>
      </c>
      <c r="F56" s="247">
        <v>15</v>
      </c>
      <c r="G56" s="19"/>
      <c r="H56" s="230">
        <f>計分版!D182</f>
        <v>2.9500000000000004E-9</v>
      </c>
      <c r="I56" s="91">
        <f t="shared" si="3"/>
        <v>-14.999999997050001</v>
      </c>
      <c r="J56" s="92">
        <f t="shared" si="2"/>
        <v>-5084745761.7118645</v>
      </c>
      <c r="K56" s="247">
        <v>43</v>
      </c>
      <c r="L56" s="19"/>
      <c r="M56" s="24">
        <f>入學要求!S193</f>
        <v>0</v>
      </c>
      <c r="N56" s="19"/>
      <c r="O56" s="245">
        <v>2</v>
      </c>
      <c r="P56" s="245">
        <v>2</v>
      </c>
      <c r="Q56" s="245">
        <v>2</v>
      </c>
      <c r="R56" s="245">
        <v>2</v>
      </c>
      <c r="S56" s="245">
        <v>2</v>
      </c>
      <c r="T56" s="19"/>
    </row>
    <row r="57" spans="1:20" s="112" customFormat="1" ht="18" customHeight="1">
      <c r="A57" s="104" t="s">
        <v>496</v>
      </c>
      <c r="B57" s="104" t="s">
        <v>858</v>
      </c>
      <c r="C57" s="104" t="s">
        <v>605</v>
      </c>
      <c r="D57" s="104" t="s">
        <v>595</v>
      </c>
      <c r="E57" s="111" t="s">
        <v>607</v>
      </c>
      <c r="F57" s="108">
        <v>16.399999999999999</v>
      </c>
      <c r="G57" s="104"/>
      <c r="H57" s="231">
        <f>計分版!D183</f>
        <v>2.9500000000000004E-9</v>
      </c>
      <c r="I57" s="106">
        <f t="shared" si="3"/>
        <v>-16.399999997049999</v>
      </c>
      <c r="J57" s="107">
        <f t="shared" si="2"/>
        <v>-5559322032.898304</v>
      </c>
      <c r="K57" s="108">
        <v>55</v>
      </c>
      <c r="L57" s="104"/>
      <c r="M57" s="110">
        <f>入學要求!S194</f>
        <v>0</v>
      </c>
      <c r="N57" s="104"/>
      <c r="O57" s="111">
        <v>2</v>
      </c>
      <c r="P57" s="111">
        <v>2</v>
      </c>
      <c r="Q57" s="111">
        <v>2</v>
      </c>
      <c r="R57" s="111">
        <v>2</v>
      </c>
      <c r="S57" s="111">
        <v>2</v>
      </c>
      <c r="T57" s="104"/>
    </row>
    <row r="58" spans="1:20" s="99" customFormat="1" ht="18" customHeight="1">
      <c r="E58" s="122"/>
    </row>
    <row r="59" spans="1:20" s="99" customFormat="1" ht="18" customHeight="1">
      <c r="A59" s="19" t="s">
        <v>1188</v>
      </c>
      <c r="B59" s="19"/>
      <c r="C59" s="19"/>
      <c r="D59" s="19"/>
      <c r="E59" s="114"/>
      <c r="F59" s="47"/>
      <c r="G59" s="47"/>
      <c r="H59" s="47"/>
      <c r="I59" s="63"/>
      <c r="J59" s="64"/>
      <c r="K59" s="47"/>
      <c r="L59" s="65"/>
      <c r="M59" s="19"/>
      <c r="N59" s="47"/>
      <c r="O59" s="47"/>
      <c r="P59" s="47"/>
      <c r="Q59" s="47"/>
      <c r="R59" s="47"/>
      <c r="S59" s="47"/>
      <c r="T59" s="47"/>
    </row>
    <row r="60" spans="1:20" s="99" customFormat="1" ht="18" customHeight="1">
      <c r="A60" s="19" t="s">
        <v>1184</v>
      </c>
      <c r="B60" s="19"/>
      <c r="C60" s="19"/>
      <c r="D60" s="19"/>
      <c r="E60" s="114"/>
      <c r="F60" s="47"/>
      <c r="G60" s="47"/>
      <c r="H60" s="47"/>
      <c r="I60" s="63"/>
      <c r="J60" s="64"/>
      <c r="K60" s="47"/>
      <c r="L60" s="65"/>
      <c r="M60" s="19"/>
      <c r="N60" s="47"/>
      <c r="O60" s="47"/>
      <c r="P60" s="47"/>
      <c r="Q60" s="47"/>
      <c r="R60" s="47"/>
      <c r="S60" s="47"/>
      <c r="T60" s="47"/>
    </row>
    <row r="61" spans="1:20" s="99" customFormat="1" ht="18" customHeight="1">
      <c r="A61" s="269"/>
      <c r="B61" s="19"/>
      <c r="C61" s="19"/>
      <c r="D61" s="19"/>
      <c r="E61" s="262"/>
      <c r="F61" s="260"/>
      <c r="G61" s="260"/>
      <c r="H61" s="260"/>
      <c r="I61" s="63"/>
      <c r="J61" s="64"/>
      <c r="K61" s="260"/>
      <c r="L61" s="65"/>
      <c r="M61" s="19"/>
      <c r="N61" s="260"/>
      <c r="O61" s="260"/>
      <c r="P61" s="260"/>
      <c r="Q61" s="260"/>
      <c r="R61" s="260"/>
      <c r="S61" s="260"/>
      <c r="T61" s="260"/>
    </row>
    <row r="62" spans="1:20" s="99" customFormat="1" ht="18" customHeight="1">
      <c r="A62" s="68" t="s">
        <v>1352</v>
      </c>
      <c r="B62" s="19"/>
      <c r="C62" s="19"/>
      <c r="D62" s="19"/>
      <c r="E62" s="262"/>
      <c r="F62" s="260"/>
      <c r="G62" s="260"/>
      <c r="H62" s="260"/>
      <c r="I62" s="63"/>
      <c r="J62" s="64"/>
      <c r="K62" s="260"/>
      <c r="L62" s="65"/>
      <c r="M62" s="19"/>
      <c r="N62" s="260"/>
      <c r="O62" s="260"/>
      <c r="P62" s="260"/>
      <c r="Q62" s="260"/>
      <c r="R62" s="260"/>
      <c r="S62" s="260"/>
      <c r="T62" s="260"/>
    </row>
    <row r="63" spans="1:20" s="99" customFormat="1" ht="18" customHeight="1">
      <c r="A63" s="269" t="s">
        <v>1356</v>
      </c>
      <c r="B63" s="19"/>
      <c r="C63" s="19"/>
      <c r="D63" s="19"/>
      <c r="E63" s="262"/>
      <c r="F63" s="260"/>
      <c r="G63" s="260"/>
      <c r="H63" s="260"/>
      <c r="I63" s="63"/>
      <c r="J63" s="64"/>
      <c r="K63" s="260"/>
      <c r="L63" s="65"/>
      <c r="M63" s="19"/>
      <c r="N63" s="260"/>
      <c r="O63" s="260"/>
      <c r="P63" s="260"/>
      <c r="Q63" s="260"/>
      <c r="R63" s="260"/>
      <c r="S63" s="260"/>
      <c r="T63" s="260"/>
    </row>
    <row r="64" spans="1:20" s="99" customFormat="1" ht="18" customHeight="1">
      <c r="A64" s="269" t="s">
        <v>1357</v>
      </c>
      <c r="B64" s="19"/>
      <c r="E64" s="122"/>
    </row>
    <row r="65" spans="1:5" s="99" customFormat="1">
      <c r="A65" s="270" t="s">
        <v>1358</v>
      </c>
      <c r="B65" s="19"/>
      <c r="E65" s="122"/>
    </row>
    <row r="66" spans="1:5" s="99" customFormat="1">
      <c r="A66" s="268"/>
      <c r="B66" s="19"/>
      <c r="E66" s="122"/>
    </row>
    <row r="67" spans="1:5" hidden="1">
      <c r="A67" s="19"/>
      <c r="B67" s="99"/>
    </row>
  </sheetData>
  <mergeCells count="1">
    <mergeCell ref="I1:J1"/>
  </mergeCells>
  <phoneticPr fontId="2" type="noConversion"/>
  <conditionalFormatting sqref="I2:J46 I48:J57">
    <cfRule type="cellIs" dxfId="307" priority="75" operator="equal">
      <formula>"/"</formula>
    </cfRule>
    <cfRule type="cellIs" dxfId="306" priority="76" operator="lessThan">
      <formula>0</formula>
    </cfRule>
    <cfRule type="cellIs" dxfId="305" priority="77" operator="greaterThan">
      <formula>0</formula>
    </cfRule>
  </conditionalFormatting>
  <conditionalFormatting sqref="F2:F46">
    <cfRule type="expression" dxfId="304" priority="73">
      <formula>$I$1="差距(Median)"</formula>
    </cfRule>
  </conditionalFormatting>
  <conditionalFormatting sqref="G2:G46">
    <cfRule type="expression" dxfId="303" priority="72">
      <formula>$I$1="差距(LQ)"</formula>
    </cfRule>
  </conditionalFormatting>
  <conditionalFormatting sqref="M2:M46">
    <cfRule type="cellIs" dxfId="302" priority="57" operator="equal">
      <formula>2</formula>
    </cfRule>
    <cfRule type="cellIs" dxfId="301" priority="58" operator="equal">
      <formula>1</formula>
    </cfRule>
    <cfRule type="cellIs" dxfId="300" priority="59" operator="equal">
      <formula>0</formula>
    </cfRule>
  </conditionalFormatting>
  <conditionalFormatting sqref="K2:K8 K11:K43">
    <cfRule type="cellIs" dxfId="299" priority="56" operator="lessThan">
      <formula>30</formula>
    </cfRule>
  </conditionalFormatting>
  <conditionalFormatting sqref="M48:M57">
    <cfRule type="cellIs" dxfId="298" priority="3" operator="equal">
      <formula>2</formula>
    </cfRule>
    <cfRule type="cellIs" dxfId="297" priority="4" operator="equal">
      <formula>1</formula>
    </cfRule>
    <cfRule type="cellIs" dxfId="296" priority="5" operator="equal">
      <formula>0</formula>
    </cfRule>
  </conditionalFormatting>
  <pageMargins left="0.7" right="0.7" top="0.75" bottom="0.75" header="0.3" footer="0.3"/>
  <pageSetup paperSize="9" orientation="portrait" horizontalDpi="1200" verticalDpi="1200" r:id="rId1"/>
  <legacyDrawing r:id="rId2"/>
  <extLst>
    <ext xmlns:x14="http://schemas.microsoft.com/office/spreadsheetml/2009/9/main" uri="{78C0D931-6437-407d-A8EE-F0AAD7539E65}">
      <x14:conditionalFormattings>
        <x14:conditionalFormatting xmlns:xm="http://schemas.microsoft.com/office/excel/2006/main">
          <x14:cfRule type="cellIs" priority="29" operator="greaterThan" id="{BA79D7AD-F686-41FE-A80F-290A3349957D}">
            <xm:f>LARGE(計分版!$G$13:$L$13,2)</xm:f>
            <x14:dxf>
              <font>
                <color rgb="FF9C0006"/>
              </font>
              <fill>
                <patternFill>
                  <bgColor rgb="FFFFC7CE"/>
                </patternFill>
              </fill>
            </x14:dxf>
          </x14:cfRule>
          <xm:sqref>T2:T46</xm:sqref>
        </x14:conditionalFormatting>
        <x14:conditionalFormatting xmlns:xm="http://schemas.microsoft.com/office/excel/2006/main">
          <x14:cfRule type="cellIs" priority="24" operator="greaterThan" id="{7392CFB8-4A2A-40CA-B164-6D0725050A49}">
            <xm:f>計分版!$C$13</xm:f>
            <x14:dxf>
              <font>
                <color rgb="FF9C0006"/>
              </font>
              <fill>
                <patternFill>
                  <bgColor rgb="FFFFC7CE"/>
                </patternFill>
              </fill>
            </x14:dxf>
          </x14:cfRule>
          <x14:cfRule type="cellIs" priority="25" operator="lessThan" id="{463328F2-C9DB-4847-9635-59B4A4B394D0}">
            <xm:f>計分版!$C$13</xm:f>
            <x14:dxf>
              <font>
                <color rgb="FF006100"/>
              </font>
              <fill>
                <patternFill>
                  <bgColor rgb="FFC6EFCE"/>
                </patternFill>
              </fill>
            </x14:dxf>
          </x14:cfRule>
          <xm:sqref>O2:O46</xm:sqref>
        </x14:conditionalFormatting>
        <x14:conditionalFormatting xmlns:xm="http://schemas.microsoft.com/office/excel/2006/main">
          <x14:cfRule type="cellIs" priority="22" operator="greaterThan" id="{B3E0BCDA-A169-4890-B301-FDD2ECF9A1FC}">
            <xm:f>計分版!$D$13</xm:f>
            <x14:dxf>
              <font>
                <color rgb="FF9C0006"/>
              </font>
              <fill>
                <patternFill>
                  <bgColor rgb="FFFFC7CE"/>
                </patternFill>
              </fill>
            </x14:dxf>
          </x14:cfRule>
          <x14:cfRule type="cellIs" priority="23" operator="lessThan" id="{48766242-EE0E-4127-84EE-C3202AF0C19E}">
            <xm:f>計分版!$D$13</xm:f>
            <x14:dxf>
              <font>
                <color rgb="FF006100"/>
              </font>
              <fill>
                <patternFill>
                  <bgColor rgb="FFC6EFCE"/>
                </patternFill>
              </fill>
            </x14:dxf>
          </x14:cfRule>
          <xm:sqref>P2:P46</xm:sqref>
        </x14:conditionalFormatting>
        <x14:conditionalFormatting xmlns:xm="http://schemas.microsoft.com/office/excel/2006/main">
          <x14:cfRule type="cellIs" priority="20" operator="lessThan" id="{E10EFC83-0DAD-42DB-9184-0927575C9F4A}">
            <xm:f>計分版!$E$13</xm:f>
            <x14:dxf>
              <font>
                <color rgb="FF006100"/>
              </font>
              <fill>
                <patternFill>
                  <bgColor rgb="FFC6EFCE"/>
                </patternFill>
              </fill>
            </x14:dxf>
          </x14:cfRule>
          <x14:cfRule type="cellIs" priority="21" operator="greaterThan" id="{B4012D41-6084-40AD-81C6-204342C59CB0}">
            <xm:f>計分版!$E$13</xm:f>
            <x14:dxf>
              <font>
                <color rgb="FF9C0006"/>
              </font>
              <fill>
                <patternFill>
                  <bgColor rgb="FFFFC7CE"/>
                </patternFill>
              </fill>
            </x14:dxf>
          </x14:cfRule>
          <xm:sqref>Q2:Q46</xm:sqref>
        </x14:conditionalFormatting>
        <x14:conditionalFormatting xmlns:xm="http://schemas.microsoft.com/office/excel/2006/main">
          <x14:cfRule type="cellIs" priority="18" operator="lessThan" id="{708F1AFC-6F7A-495B-A47A-E0059FEB7611}">
            <xm:f>計分版!$F$13</xm:f>
            <x14:dxf>
              <font>
                <color rgb="FF006100"/>
              </font>
              <fill>
                <patternFill>
                  <bgColor rgb="FFC6EFCE"/>
                </patternFill>
              </fill>
            </x14:dxf>
          </x14:cfRule>
          <x14:cfRule type="cellIs" priority="19" operator="greaterThan" id="{480BD724-5A4D-46A4-A7A2-2C907CE55A0E}">
            <xm:f>計分版!$F$13</xm:f>
            <x14:dxf>
              <font>
                <color rgb="FF9C0006"/>
              </font>
              <fill>
                <patternFill>
                  <bgColor rgb="FFFFC7CE"/>
                </patternFill>
              </fill>
            </x14:dxf>
          </x14:cfRule>
          <xm:sqref>R2:R46</xm:sqref>
        </x14:conditionalFormatting>
        <x14:conditionalFormatting xmlns:xm="http://schemas.microsoft.com/office/excel/2006/main">
          <x14:cfRule type="cellIs" priority="26" operator="lessThan" id="{A43C1DE6-DBEA-45FA-980A-90C80E233C7C}">
            <xm:f>LARGE(計分版!$G$13:$L$13,1)</xm:f>
            <x14:dxf>
              <font>
                <color rgb="FF006100"/>
              </font>
              <fill>
                <patternFill>
                  <bgColor rgb="FFC6EFCE"/>
                </patternFill>
              </fill>
            </x14:dxf>
          </x14:cfRule>
          <x14:cfRule type="cellIs" priority="27" operator="greaterThan" id="{6DCBE3FA-4F7C-4F01-A157-4099DCA55064}">
            <xm:f>LARGE(計分版!$G$13:$L$13,1)</xm:f>
            <x14:dxf>
              <font>
                <color rgb="FF9C0006"/>
              </font>
              <fill>
                <patternFill>
                  <bgColor rgb="FFFFC7CE"/>
                </patternFill>
              </fill>
            </x14:dxf>
          </x14:cfRule>
          <xm:sqref>S2:S46</xm:sqref>
        </x14:conditionalFormatting>
        <x14:conditionalFormatting xmlns:xm="http://schemas.microsoft.com/office/excel/2006/main">
          <x14:cfRule type="cellIs" priority="28" operator="lessThan" id="{18690A95-EAAE-4C9B-ADC7-1867B9B0B3B9}">
            <xm:f>LARGE(計分版!$G$13:$L$13,2)</xm:f>
            <x14:dxf>
              <font>
                <color rgb="FF006100"/>
              </font>
              <fill>
                <patternFill>
                  <bgColor rgb="FFC6EFCE"/>
                </patternFill>
              </fill>
            </x14:dxf>
          </x14:cfRule>
          <xm:sqref>T2:T46</xm:sqref>
        </x14:conditionalFormatting>
        <x14:conditionalFormatting xmlns:xm="http://schemas.microsoft.com/office/excel/2006/main">
          <x14:cfRule type="cellIs" priority="1" operator="lessThan" id="{B8D76F23-0A4D-4618-A4C1-1F1E67A93BE6}">
            <xm:f>計分版!$E$13</xm:f>
            <x14:dxf>
              <font>
                <color rgb="FF006100"/>
              </font>
              <fill>
                <patternFill>
                  <bgColor rgb="FFC6EFCE"/>
                </patternFill>
              </fill>
            </x14:dxf>
          </x14:cfRule>
          <x14:cfRule type="cellIs" priority="2" operator="greaterThan" id="{58CC4545-485D-44E4-B7EC-D74041F5DABD}">
            <xm:f>計分版!$E$13</xm:f>
            <x14:dxf>
              <font>
                <color rgb="FF9C0006"/>
              </font>
              <fill>
                <patternFill>
                  <bgColor rgb="FFFFC7CE"/>
                </patternFill>
              </fill>
            </x14:dxf>
          </x14:cfRule>
          <xm:sqref>O48:S57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328A0D7-A87C-443B-BEC2-EBCA4B6439D0}">
          <x14:formula1>
            <xm:f>選單!$I$2:$I$3</xm:f>
          </x14:formula1>
          <xm:sqref>I1:J1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E052-2A82-49F7-B278-655BF4A51CC9}">
  <dimension ref="A1:AD75"/>
  <sheetViews>
    <sheetView zoomScaleNormal="100" workbookViewId="0">
      <pane ySplit="1" topLeftCell="A41" activePane="bottomLeft" state="frozen"/>
      <selection activeCell="B1" sqref="B1"/>
      <selection pane="bottomLeft" activeCell="E61" sqref="E61"/>
    </sheetView>
  </sheetViews>
  <sheetFormatPr defaultColWidth="0" defaultRowHeight="15.75" zeroHeight="1"/>
  <cols>
    <col min="1" max="1" width="7.25" style="99" customWidth="1"/>
    <col min="2" max="2" width="10.875" style="99" customWidth="1"/>
    <col min="3" max="3" width="23.25" style="99" customWidth="1"/>
    <col min="4" max="4" width="4.25" style="99" hidden="1" customWidth="1"/>
    <col min="5" max="5" width="7.875" style="18" customWidth="1"/>
    <col min="6" max="6" width="5.875" style="122" customWidth="1"/>
    <col min="7" max="7" width="6.625" style="122" customWidth="1"/>
    <col min="8" max="8" width="6.125" style="122" customWidth="1"/>
    <col min="9" max="9" width="7.375" style="122" customWidth="1"/>
    <col min="10" max="10" width="7.25" style="122" customWidth="1"/>
    <col min="11" max="11" width="8.25" style="122" customWidth="1"/>
    <col min="12" max="12" width="5" style="122" customWidth="1"/>
    <col min="13" max="13" width="4.5" style="99" customWidth="1"/>
    <col min="14" max="14" width="8.375" style="122" customWidth="1"/>
    <col min="15" max="20" width="2.75" style="267" customWidth="1"/>
    <col min="21" max="21" width="9" style="122" customWidth="1"/>
    <col min="22" max="24" width="9" style="99" customWidth="1"/>
    <col min="25" max="25" width="9.375" style="99" customWidth="1"/>
    <col min="26" max="26" width="11.5" style="99" customWidth="1"/>
    <col min="27" max="30" width="1.25" style="99" customWidth="1"/>
    <col min="31" max="16384" width="1.25" style="99" hidden="1"/>
  </cols>
  <sheetData>
    <row r="1" spans="1:21" s="118" customFormat="1" ht="13.5">
      <c r="A1" s="118" t="s">
        <v>228</v>
      </c>
      <c r="B1" s="118" t="s">
        <v>325</v>
      </c>
      <c r="C1" s="118" t="s">
        <v>400</v>
      </c>
      <c r="E1" s="118" t="s">
        <v>229</v>
      </c>
      <c r="F1" s="261" t="s">
        <v>403</v>
      </c>
      <c r="G1" s="261" t="s">
        <v>327</v>
      </c>
      <c r="H1" s="261" t="s">
        <v>328</v>
      </c>
      <c r="I1" s="261" t="s">
        <v>230</v>
      </c>
      <c r="J1" s="315" t="s">
        <v>396</v>
      </c>
      <c r="K1" s="315"/>
      <c r="L1" s="261" t="s">
        <v>394</v>
      </c>
      <c r="M1" s="118" t="s">
        <v>414</v>
      </c>
      <c r="N1" s="261" t="s">
        <v>415</v>
      </c>
      <c r="O1" s="119" t="s">
        <v>405</v>
      </c>
      <c r="P1" s="119" t="s">
        <v>406</v>
      </c>
      <c r="Q1" s="119" t="s">
        <v>407</v>
      </c>
      <c r="R1" s="119" t="s">
        <v>408</v>
      </c>
      <c r="S1" s="119" t="s">
        <v>409</v>
      </c>
      <c r="T1" s="119" t="s">
        <v>410</v>
      </c>
      <c r="U1" s="261" t="s">
        <v>401</v>
      </c>
    </row>
    <row r="2" spans="1:21" s="266" customFormat="1" ht="18" customHeight="1">
      <c r="A2" s="25" t="s">
        <v>94</v>
      </c>
      <c r="B2" s="25" t="s">
        <v>314</v>
      </c>
      <c r="C2" s="25" t="s">
        <v>95</v>
      </c>
      <c r="D2" s="25" t="s">
        <v>330</v>
      </c>
      <c r="E2" s="25" t="s">
        <v>214</v>
      </c>
      <c r="F2" s="26">
        <f>8.5+7+5.5+4+4</f>
        <v>29</v>
      </c>
      <c r="G2" s="26">
        <f>8.5+7+4+4+4</f>
        <v>27.5</v>
      </c>
      <c r="H2" s="26">
        <f>5.5+5.5+5.5+4+4</f>
        <v>24.5</v>
      </c>
      <c r="I2" s="233">
        <f>計分版!D65</f>
        <v>3.9500000000000006E-9</v>
      </c>
      <c r="J2" s="27">
        <f t="shared" ref="J2:J13" si="0">IF(J$1="差距(Median)",I2-G2,IF(J$1="差距(UQ)",I2-F2,IF(J$1="差距(LQ)",I2-H2)))</f>
        <v>-27.499999996050001</v>
      </c>
      <c r="K2" s="28">
        <f>IF(J$1="差距(Median)",(I2-G2)/I2,IF(J$1="差距(UQ)",(I2-F2)/I2,IF(J$1="差距(LQ)",(I2-H2)/I2)))</f>
        <v>-6962025315.4556952</v>
      </c>
      <c r="L2" s="45">
        <v>20</v>
      </c>
      <c r="M2" s="29">
        <f>入學要求!S49</f>
        <v>0</v>
      </c>
      <c r="N2" s="30" t="s">
        <v>416</v>
      </c>
      <c r="O2" s="33">
        <v>3</v>
      </c>
      <c r="P2" s="33">
        <v>3</v>
      </c>
      <c r="Q2" s="33">
        <v>2</v>
      </c>
      <c r="R2" s="33">
        <v>2</v>
      </c>
      <c r="S2" s="33">
        <v>3</v>
      </c>
      <c r="T2" s="33">
        <v>3</v>
      </c>
      <c r="U2" s="30"/>
    </row>
    <row r="3" spans="1:21" ht="18" customHeight="1">
      <c r="A3" s="19" t="s">
        <v>96</v>
      </c>
      <c r="B3" s="19" t="s">
        <v>314</v>
      </c>
      <c r="C3" s="19" t="s">
        <v>97</v>
      </c>
      <c r="D3" s="19" t="s">
        <v>331</v>
      </c>
      <c r="E3" s="19" t="s">
        <v>214</v>
      </c>
      <c r="F3" s="21">
        <f>7*1.5+8.5+7+7+5.5</f>
        <v>38.5</v>
      </c>
      <c r="G3" s="21">
        <f>7*1.5+7+7+5.5+5.5</f>
        <v>35.5</v>
      </c>
      <c r="H3" s="21">
        <f>8.5*1.5+7+5.5+4+4</f>
        <v>33.25</v>
      </c>
      <c r="I3" s="230">
        <f>計分版!D66</f>
        <v>3.9500000000000006E-9</v>
      </c>
      <c r="J3" s="22">
        <f t="shared" si="0"/>
        <v>-35.499999996050001</v>
      </c>
      <c r="K3" s="23">
        <f t="shared" ref="K3:K63" si="1">IF(J$1="差距(Median)",(I3-G3)/I3,IF(J$1="差距(UQ)",(I3-F3)/I3,IF(J$1="差距(LQ)",(I3-H3)/I3)))</f>
        <v>-8987341771.1518974</v>
      </c>
      <c r="L3" s="262">
        <v>80</v>
      </c>
      <c r="M3" s="24">
        <f>入學要求!S50</f>
        <v>0</v>
      </c>
      <c r="N3" s="260" t="s">
        <v>416</v>
      </c>
      <c r="O3" s="34">
        <v>3</v>
      </c>
      <c r="P3" s="34">
        <v>3</v>
      </c>
      <c r="Q3" s="34">
        <v>2</v>
      </c>
      <c r="R3" s="34">
        <v>2</v>
      </c>
      <c r="S3" s="34">
        <v>3</v>
      </c>
      <c r="T3" s="34">
        <v>3</v>
      </c>
      <c r="U3" s="260"/>
    </row>
    <row r="4" spans="1:21" s="266" customFormat="1" ht="18" customHeight="1">
      <c r="A4" s="25" t="s">
        <v>98</v>
      </c>
      <c r="B4" s="25" t="s">
        <v>314</v>
      </c>
      <c r="C4" s="25" t="s">
        <v>99</v>
      </c>
      <c r="D4" s="25" t="s">
        <v>332</v>
      </c>
      <c r="E4" s="25" t="s">
        <v>214</v>
      </c>
      <c r="F4" s="26">
        <f>7+7+4+4+4</f>
        <v>26</v>
      </c>
      <c r="G4" s="26">
        <f>7+5.5+5.5+4+4</f>
        <v>26</v>
      </c>
      <c r="H4" s="26">
        <f>7+5.5+4+4+4</f>
        <v>24.5</v>
      </c>
      <c r="I4" s="233">
        <f>計分版!D67</f>
        <v>3.9500000000000006E-9</v>
      </c>
      <c r="J4" s="27">
        <f t="shared" si="0"/>
        <v>-25.999999996050001</v>
      </c>
      <c r="K4" s="28">
        <f t="shared" si="1"/>
        <v>-6582278480.0126572</v>
      </c>
      <c r="L4" s="45">
        <v>17</v>
      </c>
      <c r="M4" s="29">
        <f>入學要求!S51</f>
        <v>0</v>
      </c>
      <c r="N4" s="36" t="s">
        <v>417</v>
      </c>
      <c r="O4" s="33">
        <v>3</v>
      </c>
      <c r="P4" s="33">
        <v>3</v>
      </c>
      <c r="Q4" s="33">
        <v>2</v>
      </c>
      <c r="R4" s="33">
        <v>2</v>
      </c>
      <c r="S4" s="33">
        <v>3</v>
      </c>
      <c r="T4" s="33">
        <v>3</v>
      </c>
      <c r="U4" s="30"/>
    </row>
    <row r="5" spans="1:21" ht="18" customHeight="1">
      <c r="A5" s="19" t="s">
        <v>100</v>
      </c>
      <c r="B5" s="19" t="s">
        <v>314</v>
      </c>
      <c r="C5" s="19" t="s">
        <v>101</v>
      </c>
      <c r="D5" s="19" t="s">
        <v>333</v>
      </c>
      <c r="E5" s="19" t="s">
        <v>214</v>
      </c>
      <c r="F5" s="21">
        <f>7+7+5.5+5.5+3</f>
        <v>28</v>
      </c>
      <c r="G5" s="21">
        <f>5.5+5.5+5.5+5.5+4</f>
        <v>26</v>
      </c>
      <c r="H5" s="21">
        <f>7+5.5+5.5+4+4</f>
        <v>26</v>
      </c>
      <c r="I5" s="230">
        <f>計分版!D68</f>
        <v>3.9500000000000006E-9</v>
      </c>
      <c r="J5" s="22">
        <f t="shared" si="0"/>
        <v>-25.999999996050001</v>
      </c>
      <c r="K5" s="23">
        <f t="shared" si="1"/>
        <v>-6582278480.0126572</v>
      </c>
      <c r="L5" s="262">
        <v>21</v>
      </c>
      <c r="M5" s="24">
        <f>入學要求!S52</f>
        <v>0</v>
      </c>
      <c r="N5" s="260" t="s">
        <v>416</v>
      </c>
      <c r="O5" s="34">
        <v>3</v>
      </c>
      <c r="P5" s="34">
        <v>3</v>
      </c>
      <c r="Q5" s="34">
        <v>2</v>
      </c>
      <c r="R5" s="34">
        <v>2</v>
      </c>
      <c r="S5" s="34">
        <v>3</v>
      </c>
      <c r="T5" s="34">
        <v>3</v>
      </c>
      <c r="U5" s="260"/>
    </row>
    <row r="6" spans="1:21" s="266" customFormat="1" ht="18" customHeight="1">
      <c r="A6" s="25" t="s">
        <v>102</v>
      </c>
      <c r="B6" s="25" t="s">
        <v>314</v>
      </c>
      <c r="C6" s="25" t="s">
        <v>170</v>
      </c>
      <c r="D6" s="25" t="s">
        <v>334</v>
      </c>
      <c r="E6" s="25" t="s">
        <v>220</v>
      </c>
      <c r="F6" s="26">
        <f>4+7*1.5+4+4+7+5.5</f>
        <v>35</v>
      </c>
      <c r="G6" s="26">
        <f>7+5.5*1.5+4+5.5+4+4</f>
        <v>32.75</v>
      </c>
      <c r="H6" s="26">
        <f>3+7*1.5+5.5+4+4+4</f>
        <v>31</v>
      </c>
      <c r="I6" s="233">
        <f>計分版!D69</f>
        <v>2.9499999999999999E-9</v>
      </c>
      <c r="J6" s="27">
        <f t="shared" si="0"/>
        <v>-32.749999997049997</v>
      </c>
      <c r="K6" s="28">
        <f t="shared" si="1"/>
        <v>-11101694914.254236</v>
      </c>
      <c r="L6" s="45">
        <v>55</v>
      </c>
      <c r="M6" s="29">
        <f>入學要求!S53</f>
        <v>0</v>
      </c>
      <c r="N6" s="36" t="s">
        <v>417</v>
      </c>
      <c r="O6" s="33">
        <v>3</v>
      </c>
      <c r="P6" s="33">
        <v>3</v>
      </c>
      <c r="Q6" s="33">
        <v>2</v>
      </c>
      <c r="R6" s="33">
        <v>2</v>
      </c>
      <c r="S6" s="33">
        <v>3</v>
      </c>
      <c r="T6" s="33">
        <v>3</v>
      </c>
      <c r="U6" s="30"/>
    </row>
    <row r="7" spans="1:21" ht="18" customHeight="1">
      <c r="A7" s="19" t="s">
        <v>103</v>
      </c>
      <c r="B7" s="19" t="s">
        <v>314</v>
      </c>
      <c r="C7" s="19" t="s">
        <v>104</v>
      </c>
      <c r="D7" s="19" t="s">
        <v>335</v>
      </c>
      <c r="E7" s="19" t="s">
        <v>214</v>
      </c>
      <c r="F7" s="21">
        <f>8.5+7+5.5+5.5+4</f>
        <v>30.5</v>
      </c>
      <c r="G7" s="21">
        <f>7+7+4+4+4</f>
        <v>26</v>
      </c>
      <c r="H7" s="21">
        <f>5.5+5.5+4+4+4</f>
        <v>23</v>
      </c>
      <c r="I7" s="230">
        <f>計分版!D70</f>
        <v>3.9500000000000006E-9</v>
      </c>
      <c r="J7" s="22">
        <f t="shared" si="0"/>
        <v>-25.999999996050001</v>
      </c>
      <c r="K7" s="23">
        <f t="shared" si="1"/>
        <v>-6582278480.0126572</v>
      </c>
      <c r="L7" s="262">
        <v>20</v>
      </c>
      <c r="M7" s="24">
        <f>入學要求!S54</f>
        <v>0</v>
      </c>
      <c r="N7" s="260" t="s">
        <v>417</v>
      </c>
      <c r="O7" s="34">
        <v>3</v>
      </c>
      <c r="P7" s="34">
        <v>3</v>
      </c>
      <c r="Q7" s="34">
        <v>2</v>
      </c>
      <c r="R7" s="34">
        <v>2</v>
      </c>
      <c r="S7" s="34">
        <v>3</v>
      </c>
      <c r="T7" s="34">
        <v>3</v>
      </c>
      <c r="U7" s="260"/>
    </row>
    <row r="8" spans="1:21" s="266" customFormat="1" ht="18" customHeight="1">
      <c r="A8" s="25" t="s">
        <v>105</v>
      </c>
      <c r="B8" s="25" t="s">
        <v>314</v>
      </c>
      <c r="C8" s="25" t="s">
        <v>22</v>
      </c>
      <c r="D8" s="25" t="s">
        <v>336</v>
      </c>
      <c r="E8" s="25" t="s">
        <v>214</v>
      </c>
      <c r="F8" s="26">
        <f>7+7+5.5+5.5+5.5</f>
        <v>30.5</v>
      </c>
      <c r="G8" s="26">
        <f>8.5+7+5.5+4+4</f>
        <v>29</v>
      </c>
      <c r="H8" s="26">
        <f>7+7+5.5+4+4</f>
        <v>27.5</v>
      </c>
      <c r="I8" s="233">
        <f>計分版!D71</f>
        <v>3.9500000000000006E-9</v>
      </c>
      <c r="J8" s="27">
        <f t="shared" si="0"/>
        <v>-28.999999996050001</v>
      </c>
      <c r="K8" s="28">
        <f t="shared" si="1"/>
        <v>-7341772150.8987331</v>
      </c>
      <c r="L8" s="45">
        <v>47</v>
      </c>
      <c r="M8" s="29">
        <f>入學要求!S55</f>
        <v>0</v>
      </c>
      <c r="N8" s="30" t="s">
        <v>416</v>
      </c>
      <c r="O8" s="33">
        <v>3</v>
      </c>
      <c r="P8" s="33">
        <v>3</v>
      </c>
      <c r="Q8" s="33">
        <v>2</v>
      </c>
      <c r="R8" s="33">
        <v>2</v>
      </c>
      <c r="S8" s="33">
        <v>3</v>
      </c>
      <c r="T8" s="33">
        <v>3</v>
      </c>
      <c r="U8" s="30"/>
    </row>
    <row r="9" spans="1:21" ht="18" customHeight="1">
      <c r="A9" s="19" t="s">
        <v>106</v>
      </c>
      <c r="B9" s="19" t="s">
        <v>314</v>
      </c>
      <c r="C9" s="19" t="s">
        <v>107</v>
      </c>
      <c r="D9" s="19" t="s">
        <v>337</v>
      </c>
      <c r="E9" s="19" t="s">
        <v>214</v>
      </c>
      <c r="F9" s="21">
        <f>7+7+5.5+5.5+4</f>
        <v>29</v>
      </c>
      <c r="G9" s="21">
        <f>7+5.5+5.5+5.5+4</f>
        <v>27.5</v>
      </c>
      <c r="H9" s="21">
        <f>5.5+5.5+5.5+4+4</f>
        <v>24.5</v>
      </c>
      <c r="I9" s="230">
        <f>計分版!D72</f>
        <v>3.9500000000000006E-9</v>
      </c>
      <c r="J9" s="22">
        <f t="shared" si="0"/>
        <v>-27.499999996050001</v>
      </c>
      <c r="K9" s="23">
        <f t="shared" si="1"/>
        <v>-6962025315.4556952</v>
      </c>
      <c r="L9" s="262">
        <v>22</v>
      </c>
      <c r="M9" s="24">
        <f>入學要求!S56</f>
        <v>0</v>
      </c>
      <c r="N9" s="260" t="s">
        <v>417</v>
      </c>
      <c r="O9" s="34">
        <v>3</v>
      </c>
      <c r="P9" s="34">
        <v>3</v>
      </c>
      <c r="Q9" s="34">
        <v>2</v>
      </c>
      <c r="R9" s="34">
        <v>2</v>
      </c>
      <c r="S9" s="34">
        <v>3</v>
      </c>
      <c r="T9" s="34">
        <v>3</v>
      </c>
      <c r="U9" s="260"/>
    </row>
    <row r="10" spans="1:21" s="266" customFormat="1" ht="18" customHeight="1">
      <c r="A10" s="25" t="s">
        <v>108</v>
      </c>
      <c r="B10" s="25" t="s">
        <v>314</v>
      </c>
      <c r="C10" s="25" t="s">
        <v>171</v>
      </c>
      <c r="D10" s="25" t="s">
        <v>338</v>
      </c>
      <c r="E10" s="25" t="s">
        <v>214</v>
      </c>
      <c r="F10" s="26">
        <f>7+7+5.5+5.5+5.5</f>
        <v>30.5</v>
      </c>
      <c r="G10" s="26">
        <f>8.5+7+4+4+4</f>
        <v>27.5</v>
      </c>
      <c r="H10" s="26">
        <f>5.5+5.5+5.5+4+4</f>
        <v>24.5</v>
      </c>
      <c r="I10" s="233">
        <f>計分版!D73</f>
        <v>3.9500000000000006E-9</v>
      </c>
      <c r="J10" s="27">
        <f t="shared" si="0"/>
        <v>-27.499999996050001</v>
      </c>
      <c r="K10" s="28">
        <f t="shared" si="1"/>
        <v>-6962025315.4556952</v>
      </c>
      <c r="L10" s="45">
        <v>20</v>
      </c>
      <c r="M10" s="29">
        <f>入學要求!S57</f>
        <v>0</v>
      </c>
      <c r="N10" s="30" t="s">
        <v>416</v>
      </c>
      <c r="O10" s="33">
        <v>3</v>
      </c>
      <c r="P10" s="33">
        <v>3</v>
      </c>
      <c r="Q10" s="33">
        <v>2</v>
      </c>
      <c r="R10" s="33">
        <v>2</v>
      </c>
      <c r="S10" s="33">
        <v>3</v>
      </c>
      <c r="T10" s="33">
        <v>3</v>
      </c>
      <c r="U10" s="30"/>
    </row>
    <row r="11" spans="1:21" ht="18" customHeight="1">
      <c r="A11" s="19" t="s">
        <v>109</v>
      </c>
      <c r="B11" s="19" t="s">
        <v>314</v>
      </c>
      <c r="C11" s="19" t="s">
        <v>21</v>
      </c>
      <c r="D11" s="19" t="s">
        <v>339</v>
      </c>
      <c r="E11" s="19" t="s">
        <v>82</v>
      </c>
      <c r="F11" s="21">
        <f>8.5+5.5+5.5+5.5+4</f>
        <v>29</v>
      </c>
      <c r="G11" s="21">
        <f>7+5.5+5.5+4+4</f>
        <v>26</v>
      </c>
      <c r="H11" s="21">
        <f>5.5+5.5+5.5+4+4</f>
        <v>24.5</v>
      </c>
      <c r="I11" s="230">
        <f>計分版!D74</f>
        <v>3.9500000000000006E-9</v>
      </c>
      <c r="J11" s="22">
        <f t="shared" si="0"/>
        <v>-25.999999996050001</v>
      </c>
      <c r="K11" s="23">
        <f t="shared" si="1"/>
        <v>-6582278480.0126572</v>
      </c>
      <c r="L11" s="262">
        <v>28</v>
      </c>
      <c r="M11" s="24">
        <f>入學要求!S58</f>
        <v>0</v>
      </c>
      <c r="N11" s="260" t="s">
        <v>416</v>
      </c>
      <c r="O11" s="34">
        <v>3</v>
      </c>
      <c r="P11" s="34">
        <v>3</v>
      </c>
      <c r="Q11" s="34">
        <v>2</v>
      </c>
      <c r="R11" s="34">
        <v>2</v>
      </c>
      <c r="S11" s="34">
        <v>3</v>
      </c>
      <c r="T11" s="34">
        <v>3</v>
      </c>
      <c r="U11" s="260"/>
    </row>
    <row r="12" spans="1:21" s="266" customFormat="1" ht="18" customHeight="1">
      <c r="A12" s="25" t="s">
        <v>110</v>
      </c>
      <c r="B12" s="25" t="s">
        <v>314</v>
      </c>
      <c r="C12" s="25" t="s">
        <v>172</v>
      </c>
      <c r="D12" s="25" t="s">
        <v>340</v>
      </c>
      <c r="E12" s="25" t="s">
        <v>214</v>
      </c>
      <c r="F12" s="26">
        <f>8.5+4+5.5+5.5+5.5</f>
        <v>29</v>
      </c>
      <c r="G12" s="26">
        <f>5.5+4+7+4+4</f>
        <v>24.5</v>
      </c>
      <c r="H12" s="26">
        <f>5.5+4+7+4+4</f>
        <v>24.5</v>
      </c>
      <c r="I12" s="233">
        <f>計分版!D75</f>
        <v>2.9500000000000004E-9</v>
      </c>
      <c r="J12" s="27">
        <f t="shared" si="0"/>
        <v>-24.499999997050001</v>
      </c>
      <c r="K12" s="28">
        <f t="shared" si="1"/>
        <v>-8305084744.7627115</v>
      </c>
      <c r="L12" s="45">
        <v>21</v>
      </c>
      <c r="M12" s="29">
        <f>入學要求!S59</f>
        <v>0</v>
      </c>
      <c r="N12" s="30" t="s">
        <v>416</v>
      </c>
      <c r="O12" s="33">
        <v>3</v>
      </c>
      <c r="P12" s="33">
        <v>3</v>
      </c>
      <c r="Q12" s="33">
        <v>2</v>
      </c>
      <c r="R12" s="33">
        <v>2</v>
      </c>
      <c r="S12" s="33">
        <v>3</v>
      </c>
      <c r="T12" s="33">
        <v>3</v>
      </c>
      <c r="U12" s="30"/>
    </row>
    <row r="13" spans="1:21" ht="18" customHeight="1">
      <c r="A13" s="19" t="s">
        <v>111</v>
      </c>
      <c r="B13" s="19" t="s">
        <v>314</v>
      </c>
      <c r="C13" s="19" t="s">
        <v>173</v>
      </c>
      <c r="D13" s="19" t="s">
        <v>341</v>
      </c>
      <c r="E13" s="19" t="s">
        <v>214</v>
      </c>
      <c r="F13" s="21">
        <f>7+5.5+4+4+4</f>
        <v>24.5</v>
      </c>
      <c r="G13" s="21">
        <f>7+5.5+4+4+3</f>
        <v>23.5</v>
      </c>
      <c r="H13" s="21">
        <f>7+4+4+4+4</f>
        <v>23</v>
      </c>
      <c r="I13" s="230">
        <f>計分版!D76</f>
        <v>3.9500000000000006E-9</v>
      </c>
      <c r="J13" s="22">
        <f t="shared" si="0"/>
        <v>-23.499999996050001</v>
      </c>
      <c r="K13" s="23">
        <f t="shared" si="1"/>
        <v>-5949367087.6075945</v>
      </c>
      <c r="L13" s="316">
        <v>19</v>
      </c>
      <c r="M13" s="24">
        <f>入學要求!S60</f>
        <v>0</v>
      </c>
      <c r="N13" s="260" t="s">
        <v>417</v>
      </c>
      <c r="O13" s="34">
        <v>3</v>
      </c>
      <c r="P13" s="34">
        <v>3</v>
      </c>
      <c r="Q13" s="34">
        <v>2</v>
      </c>
      <c r="R13" s="34">
        <v>2</v>
      </c>
      <c r="S13" s="34">
        <v>3</v>
      </c>
      <c r="T13" s="34">
        <v>3</v>
      </c>
      <c r="U13" s="260"/>
    </row>
    <row r="14" spans="1:21" s="266" customFormat="1" ht="18" customHeight="1">
      <c r="A14" s="25" t="s">
        <v>112</v>
      </c>
      <c r="B14" s="25" t="s">
        <v>314</v>
      </c>
      <c r="C14" s="25" t="s">
        <v>174</v>
      </c>
      <c r="D14" s="25" t="s">
        <v>342</v>
      </c>
      <c r="E14" s="25" t="s">
        <v>214</v>
      </c>
      <c r="F14" s="26" t="s">
        <v>393</v>
      </c>
      <c r="G14" s="26" t="s">
        <v>393</v>
      </c>
      <c r="H14" s="26" t="s">
        <v>393</v>
      </c>
      <c r="I14" s="233">
        <f>計分版!D77</f>
        <v>3.9500000000000006E-9</v>
      </c>
      <c r="J14" s="27" t="s">
        <v>393</v>
      </c>
      <c r="K14" s="28" t="s">
        <v>393</v>
      </c>
      <c r="L14" s="316"/>
      <c r="M14" s="29">
        <f>入學要求!S61</f>
        <v>0</v>
      </c>
      <c r="N14" s="30" t="s">
        <v>417</v>
      </c>
      <c r="O14" s="33">
        <v>3</v>
      </c>
      <c r="P14" s="33">
        <v>3</v>
      </c>
      <c r="Q14" s="33">
        <v>2</v>
      </c>
      <c r="R14" s="33">
        <v>2</v>
      </c>
      <c r="S14" s="33">
        <v>3</v>
      </c>
      <c r="T14" s="33">
        <v>3</v>
      </c>
      <c r="U14" s="30"/>
    </row>
    <row r="15" spans="1:21" ht="18" customHeight="1">
      <c r="A15" s="19" t="s">
        <v>113</v>
      </c>
      <c r="B15" s="19" t="s">
        <v>314</v>
      </c>
      <c r="C15" s="19" t="s">
        <v>114</v>
      </c>
      <c r="D15" s="19" t="s">
        <v>343</v>
      </c>
      <c r="E15" s="19" t="s">
        <v>214</v>
      </c>
      <c r="F15" s="21">
        <f>8.5+8.5+7+5.5+4</f>
        <v>33.5</v>
      </c>
      <c r="G15" s="21">
        <f>7+7+7+5+5</f>
        <v>31</v>
      </c>
      <c r="H15" s="21">
        <f>8.5+7+5.5+5.5+4</f>
        <v>30.5</v>
      </c>
      <c r="I15" s="230">
        <f>計分版!D78</f>
        <v>3.9500000000000006E-9</v>
      </c>
      <c r="J15" s="22">
        <f t="shared" ref="J15:J25" si="2">IF(J$1="差距(Median)",I15-G15,IF(J$1="差距(UQ)",I15-F15,IF(J$1="差距(LQ)",I15-H15)))</f>
        <v>-30.999999996050001</v>
      </c>
      <c r="K15" s="23">
        <f t="shared" si="1"/>
        <v>-7848101264.8227835</v>
      </c>
      <c r="L15" s="262">
        <v>32</v>
      </c>
      <c r="M15" s="24">
        <f>入學要求!S62</f>
        <v>0</v>
      </c>
      <c r="N15" s="260" t="s">
        <v>416</v>
      </c>
      <c r="O15" s="34">
        <v>3</v>
      </c>
      <c r="P15" s="34">
        <v>3</v>
      </c>
      <c r="Q15" s="34">
        <v>3</v>
      </c>
      <c r="R15" s="34">
        <v>3</v>
      </c>
      <c r="S15" s="34">
        <v>3</v>
      </c>
      <c r="T15" s="34">
        <v>3</v>
      </c>
      <c r="U15" s="260" t="s">
        <v>402</v>
      </c>
    </row>
    <row r="16" spans="1:21" s="266" customFormat="1" ht="18" customHeight="1">
      <c r="A16" s="25" t="s">
        <v>208</v>
      </c>
      <c r="B16" s="25" t="s">
        <v>314</v>
      </c>
      <c r="C16" s="31" t="s">
        <v>209</v>
      </c>
      <c r="D16" s="25" t="s">
        <v>344</v>
      </c>
      <c r="E16" s="25" t="s">
        <v>214</v>
      </c>
      <c r="F16" s="26">
        <f>7+5.5+4+4+4</f>
        <v>24.5</v>
      </c>
      <c r="G16" s="26">
        <f>5.5+4+4+4+4</f>
        <v>21.5</v>
      </c>
      <c r="H16" s="26">
        <f>5.5+4+4+4+4</f>
        <v>21.5</v>
      </c>
      <c r="I16" s="233">
        <f>計分版!D79</f>
        <v>3.9500000000000006E-9</v>
      </c>
      <c r="J16" s="27">
        <f t="shared" si="2"/>
        <v>-21.499999996050001</v>
      </c>
      <c r="K16" s="28">
        <f t="shared" si="1"/>
        <v>-5443037973.6835432</v>
      </c>
      <c r="L16" s="45">
        <v>15</v>
      </c>
      <c r="M16" s="29">
        <f>入學要求!S63</f>
        <v>0</v>
      </c>
      <c r="N16" s="30" t="s">
        <v>416</v>
      </c>
      <c r="O16" s="33">
        <v>3</v>
      </c>
      <c r="P16" s="33">
        <v>3</v>
      </c>
      <c r="Q16" s="33">
        <v>2</v>
      </c>
      <c r="R16" s="33">
        <v>2</v>
      </c>
      <c r="S16" s="33">
        <v>3</v>
      </c>
      <c r="T16" s="33">
        <v>3</v>
      </c>
      <c r="U16" s="30"/>
    </row>
    <row r="17" spans="1:21" ht="18" customHeight="1">
      <c r="A17" s="19" t="s">
        <v>115</v>
      </c>
      <c r="B17" s="19" t="s">
        <v>315</v>
      </c>
      <c r="C17" s="19" t="s">
        <v>116</v>
      </c>
      <c r="D17" s="19" t="s">
        <v>345</v>
      </c>
      <c r="E17" s="19" t="s">
        <v>214</v>
      </c>
      <c r="F17" s="21">
        <f>7+7+5.5+5.5+4</f>
        <v>29</v>
      </c>
      <c r="G17" s="21">
        <f>8.5+7+4+4+4</f>
        <v>27.5</v>
      </c>
      <c r="H17" s="21">
        <f>7+5.5+5.5+4+4</f>
        <v>26</v>
      </c>
      <c r="I17" s="230">
        <f>計分版!D80</f>
        <v>3.9500000000000006E-9</v>
      </c>
      <c r="J17" s="22">
        <f t="shared" si="2"/>
        <v>-27.499999996050001</v>
      </c>
      <c r="K17" s="23">
        <f t="shared" si="1"/>
        <v>-6962025315.4556952</v>
      </c>
      <c r="L17" s="262">
        <v>233</v>
      </c>
      <c r="M17" s="24">
        <f>入學要求!S64</f>
        <v>0</v>
      </c>
      <c r="N17" s="260" t="s">
        <v>417</v>
      </c>
      <c r="O17" s="34">
        <v>3</v>
      </c>
      <c r="P17" s="34">
        <v>3</v>
      </c>
      <c r="Q17" s="34">
        <v>2</v>
      </c>
      <c r="R17" s="34">
        <v>2</v>
      </c>
      <c r="S17" s="34">
        <v>3</v>
      </c>
      <c r="T17" s="34">
        <v>3</v>
      </c>
      <c r="U17" s="260" t="s">
        <v>402</v>
      </c>
    </row>
    <row r="18" spans="1:21" s="266" customFormat="1" ht="18" customHeight="1">
      <c r="A18" s="25" t="s">
        <v>117</v>
      </c>
      <c r="B18" s="25" t="s">
        <v>315</v>
      </c>
      <c r="C18" s="25" t="s">
        <v>118</v>
      </c>
      <c r="D18" s="25" t="s">
        <v>346</v>
      </c>
      <c r="E18" s="25" t="s">
        <v>215</v>
      </c>
      <c r="F18" s="26">
        <f>8.5+8.5+8.5+5.5+8.5+8.5</f>
        <v>48</v>
      </c>
      <c r="G18" s="26">
        <f>8.5+7+8.5+8.5+7+7</f>
        <v>46.5</v>
      </c>
      <c r="H18" s="26">
        <f>8.5+7+7+8.5+7+7</f>
        <v>45</v>
      </c>
      <c r="I18" s="233">
        <f>計分版!D81</f>
        <v>2.8499999999999999E-9</v>
      </c>
      <c r="J18" s="27">
        <f t="shared" si="2"/>
        <v>-46.499999997149999</v>
      </c>
      <c r="K18" s="28">
        <f t="shared" si="1"/>
        <v>-16315789472.684212</v>
      </c>
      <c r="L18" s="45">
        <v>15</v>
      </c>
      <c r="M18" s="29">
        <f>入學要求!S65</f>
        <v>0</v>
      </c>
      <c r="N18" s="30" t="s">
        <v>417</v>
      </c>
      <c r="O18" s="33">
        <v>4</v>
      </c>
      <c r="P18" s="33">
        <v>5</v>
      </c>
      <c r="Q18" s="33">
        <v>3</v>
      </c>
      <c r="R18" s="33">
        <v>3</v>
      </c>
      <c r="S18" s="33">
        <v>3</v>
      </c>
      <c r="T18" s="33">
        <v>3</v>
      </c>
      <c r="U18" s="30" t="s">
        <v>402</v>
      </c>
    </row>
    <row r="19" spans="1:21" ht="18" customHeight="1">
      <c r="A19" s="19" t="s">
        <v>119</v>
      </c>
      <c r="B19" s="19" t="s">
        <v>315</v>
      </c>
      <c r="C19" s="19" t="s">
        <v>175</v>
      </c>
      <c r="D19" s="19" t="s">
        <v>347</v>
      </c>
      <c r="E19" s="19" t="s">
        <v>214</v>
      </c>
      <c r="F19" s="21">
        <f>7+5.5*2+4+4+4</f>
        <v>30</v>
      </c>
      <c r="G19" s="21">
        <f>5.5+5.5+5.5+4*2+4</f>
        <v>28.5</v>
      </c>
      <c r="H19" s="21">
        <f>5.5+5.5*2+4+4+4</f>
        <v>28.5</v>
      </c>
      <c r="I19" s="230">
        <f>計分版!D82</f>
        <v>3.9500000000000006E-9</v>
      </c>
      <c r="J19" s="22">
        <f t="shared" si="2"/>
        <v>-28.499999996050001</v>
      </c>
      <c r="K19" s="23">
        <f t="shared" si="1"/>
        <v>-7215189872.4177208</v>
      </c>
      <c r="L19" s="262">
        <v>66</v>
      </c>
      <c r="M19" s="24">
        <f>入學要求!S66</f>
        <v>0</v>
      </c>
      <c r="N19" s="260" t="s">
        <v>416</v>
      </c>
      <c r="O19" s="34">
        <v>3</v>
      </c>
      <c r="P19" s="34">
        <v>3</v>
      </c>
      <c r="Q19" s="34">
        <v>2</v>
      </c>
      <c r="R19" s="34">
        <v>2</v>
      </c>
      <c r="S19" s="34">
        <v>3</v>
      </c>
      <c r="T19" s="34">
        <v>3</v>
      </c>
      <c r="U19" s="260" t="s">
        <v>402</v>
      </c>
    </row>
    <row r="20" spans="1:21" s="266" customFormat="1" ht="18" customHeight="1">
      <c r="A20" s="25" t="s">
        <v>176</v>
      </c>
      <c r="B20" s="25" t="s">
        <v>315</v>
      </c>
      <c r="C20" s="25" t="s">
        <v>177</v>
      </c>
      <c r="D20" s="25" t="s">
        <v>348</v>
      </c>
      <c r="E20" s="25" t="s">
        <v>214</v>
      </c>
      <c r="F20" s="26">
        <f>4+8.5+7+7+7</f>
        <v>33.5</v>
      </c>
      <c r="G20" s="26">
        <f>5.5+7+7+7+5.5</f>
        <v>32</v>
      </c>
      <c r="H20" s="26">
        <f>3+8.5+8.5+5.5+5.5</f>
        <v>31</v>
      </c>
      <c r="I20" s="233">
        <f>計分版!D83</f>
        <v>3.3500000000000002E-9</v>
      </c>
      <c r="J20" s="27">
        <f t="shared" si="2"/>
        <v>-31.999999996650001</v>
      </c>
      <c r="K20" s="28">
        <f t="shared" si="1"/>
        <v>-9552238804.9701481</v>
      </c>
      <c r="L20" s="45">
        <v>36</v>
      </c>
      <c r="M20" s="29">
        <f>入學要求!S67</f>
        <v>0</v>
      </c>
      <c r="N20" s="30" t="s">
        <v>417</v>
      </c>
      <c r="O20" s="33">
        <v>3</v>
      </c>
      <c r="P20" s="33">
        <v>3</v>
      </c>
      <c r="Q20" s="33">
        <v>5</v>
      </c>
      <c r="R20" s="33">
        <v>2</v>
      </c>
      <c r="S20" s="33">
        <v>3</v>
      </c>
      <c r="T20" s="33">
        <v>3</v>
      </c>
      <c r="U20" s="30" t="s">
        <v>404</v>
      </c>
    </row>
    <row r="21" spans="1:21" ht="18" customHeight="1">
      <c r="A21" s="19" t="s">
        <v>120</v>
      </c>
      <c r="B21" s="19" t="s">
        <v>315</v>
      </c>
      <c r="C21" s="19" t="s">
        <v>178</v>
      </c>
      <c r="D21" s="19" t="s">
        <v>349</v>
      </c>
      <c r="E21" s="19" t="s">
        <v>214</v>
      </c>
      <c r="F21" s="21">
        <f>8.5+7+5.5+5.5+4</f>
        <v>30.5</v>
      </c>
      <c r="G21" s="21">
        <f>7+5.5+5.5+5.5+5.5</f>
        <v>29</v>
      </c>
      <c r="H21" s="21">
        <f>7+7+5.5+4+4</f>
        <v>27.5</v>
      </c>
      <c r="I21" s="230">
        <f>計分版!D84</f>
        <v>3.9500000000000006E-9</v>
      </c>
      <c r="J21" s="22">
        <f t="shared" si="2"/>
        <v>-28.999999996050001</v>
      </c>
      <c r="K21" s="23">
        <f t="shared" si="1"/>
        <v>-7341772150.8987331</v>
      </c>
      <c r="L21" s="262">
        <v>126</v>
      </c>
      <c r="M21" s="24">
        <f>入學要求!S68</f>
        <v>0</v>
      </c>
      <c r="N21" s="260" t="s">
        <v>417</v>
      </c>
      <c r="O21" s="34">
        <v>3</v>
      </c>
      <c r="P21" s="34">
        <v>3</v>
      </c>
      <c r="Q21" s="34">
        <v>3</v>
      </c>
      <c r="R21" s="34">
        <v>2</v>
      </c>
      <c r="S21" s="34">
        <v>3</v>
      </c>
      <c r="T21" s="34">
        <v>3</v>
      </c>
      <c r="U21" s="260" t="s">
        <v>402</v>
      </c>
    </row>
    <row r="22" spans="1:21" s="266" customFormat="1" ht="18" customHeight="1">
      <c r="A22" s="25" t="s">
        <v>179</v>
      </c>
      <c r="B22" s="25" t="s">
        <v>315</v>
      </c>
      <c r="C22" s="25" t="s">
        <v>180</v>
      </c>
      <c r="D22" s="25" t="s">
        <v>350</v>
      </c>
      <c r="E22" s="25" t="s">
        <v>214</v>
      </c>
      <c r="F22" s="26">
        <f>7*2+7*2+7*1.5+7+7</f>
        <v>52.5</v>
      </c>
      <c r="G22" s="26">
        <f>5.5*2+7*2+8.5*1.5+7+7</f>
        <v>51.75</v>
      </c>
      <c r="H22" s="26">
        <f>5.5*2+7*2+8.5*1.5+7+5.5</f>
        <v>50.25</v>
      </c>
      <c r="I22" s="233">
        <f>計分版!D85</f>
        <v>4.1000000000000003E-9</v>
      </c>
      <c r="J22" s="27">
        <f t="shared" si="2"/>
        <v>-51.749999995899998</v>
      </c>
      <c r="K22" s="28">
        <f t="shared" si="1"/>
        <v>-12621951218.512194</v>
      </c>
      <c r="L22" s="45">
        <v>37</v>
      </c>
      <c r="M22" s="29">
        <f>入學要求!S69</f>
        <v>0</v>
      </c>
      <c r="N22" s="30" t="s">
        <v>417</v>
      </c>
      <c r="O22" s="33">
        <v>3</v>
      </c>
      <c r="P22" s="33">
        <v>3</v>
      </c>
      <c r="Q22" s="33">
        <v>3</v>
      </c>
      <c r="R22" s="33">
        <v>2</v>
      </c>
      <c r="S22" s="33">
        <v>3</v>
      </c>
      <c r="T22" s="33">
        <v>3</v>
      </c>
      <c r="U22" s="30" t="s">
        <v>402</v>
      </c>
    </row>
    <row r="23" spans="1:21" ht="18" customHeight="1">
      <c r="A23" s="19" t="s">
        <v>121</v>
      </c>
      <c r="B23" s="19" t="s">
        <v>316</v>
      </c>
      <c r="C23" s="19" t="s">
        <v>122</v>
      </c>
      <c r="D23" s="19" t="s">
        <v>351</v>
      </c>
      <c r="E23" s="19" t="s">
        <v>215</v>
      </c>
      <c r="F23" s="21">
        <f>7+7+7+4+8.5+7</f>
        <v>40.5</v>
      </c>
      <c r="G23" s="21">
        <f>7+5.5+5.5+7+5.5+5.5</f>
        <v>36</v>
      </c>
      <c r="H23" s="21">
        <f>7+5.5+7+4+7+5.5</f>
        <v>36</v>
      </c>
      <c r="I23" s="230">
        <f>計分版!D86</f>
        <v>2.8499999999999999E-9</v>
      </c>
      <c r="J23" s="22">
        <f t="shared" si="2"/>
        <v>-35.999999997149999</v>
      </c>
      <c r="K23" s="23">
        <f t="shared" si="1"/>
        <v>-12631578946.368422</v>
      </c>
      <c r="L23" s="262">
        <v>24</v>
      </c>
      <c r="M23" s="24">
        <f>入學要求!S70</f>
        <v>0</v>
      </c>
      <c r="N23" s="260" t="s">
        <v>417</v>
      </c>
      <c r="O23" s="34">
        <v>4</v>
      </c>
      <c r="P23" s="34">
        <v>5</v>
      </c>
      <c r="Q23" s="34">
        <v>3</v>
      </c>
      <c r="R23" s="34">
        <v>2</v>
      </c>
      <c r="S23" s="34">
        <v>3</v>
      </c>
      <c r="T23" s="34">
        <v>3</v>
      </c>
      <c r="U23" s="260"/>
    </row>
    <row r="24" spans="1:21" s="266" customFormat="1" ht="18" customHeight="1">
      <c r="A24" s="25" t="s">
        <v>181</v>
      </c>
      <c r="B24" s="25" t="s">
        <v>317</v>
      </c>
      <c r="C24" s="25" t="s">
        <v>182</v>
      </c>
      <c r="D24" s="25" t="s">
        <v>352</v>
      </c>
      <c r="E24" s="25" t="s">
        <v>215</v>
      </c>
      <c r="F24" s="26">
        <f>5.5*1.5+7*2+7+7*2+5.5+5.5</f>
        <v>54.25</v>
      </c>
      <c r="G24" s="26">
        <f>5.5*1.5+7*2+7+5.5*2+7+5.5</f>
        <v>52.75</v>
      </c>
      <c r="H24" s="26">
        <f>7*1.5+7*2+4+5.5*2+7+5.5</f>
        <v>52</v>
      </c>
      <c r="I24" s="233">
        <f>計分版!D87</f>
        <v>3.4999999999999999E-9</v>
      </c>
      <c r="J24" s="27">
        <f t="shared" si="2"/>
        <v>-52.749999996500001</v>
      </c>
      <c r="K24" s="28">
        <f t="shared" si="1"/>
        <v>-15071428570.428572</v>
      </c>
      <c r="L24" s="45">
        <v>25</v>
      </c>
      <c r="M24" s="29">
        <f>入學要求!S71</f>
        <v>0</v>
      </c>
      <c r="N24" s="30" t="s">
        <v>417</v>
      </c>
      <c r="O24" s="33">
        <v>4</v>
      </c>
      <c r="P24" s="33">
        <v>5</v>
      </c>
      <c r="Q24" s="33">
        <v>3</v>
      </c>
      <c r="R24" s="33">
        <v>2</v>
      </c>
      <c r="S24" s="33">
        <v>3</v>
      </c>
      <c r="T24" s="33">
        <v>3</v>
      </c>
      <c r="U24" s="30" t="s">
        <v>402</v>
      </c>
    </row>
    <row r="25" spans="1:21" ht="18" customHeight="1">
      <c r="A25" s="19" t="s">
        <v>123</v>
      </c>
      <c r="B25" s="19" t="s">
        <v>318</v>
      </c>
      <c r="C25" s="19" t="s">
        <v>183</v>
      </c>
      <c r="D25" s="19" t="s">
        <v>353</v>
      </c>
      <c r="E25" s="19" t="s">
        <v>214</v>
      </c>
      <c r="F25" s="21">
        <f>5.5*2+8.5*2+7*2+8.5+8.5</f>
        <v>59</v>
      </c>
      <c r="G25" s="21">
        <f>4*2+8.5*2+8.5*2+8.5+8.5</f>
        <v>59</v>
      </c>
      <c r="H25" s="21">
        <f>7*2+8.5*2+5.5*2+8.5+7</f>
        <v>57.5</v>
      </c>
      <c r="I25" s="230">
        <f>計分版!D88</f>
        <v>4.3500000000000001E-9</v>
      </c>
      <c r="J25" s="22">
        <f t="shared" si="2"/>
        <v>-58.999999995650001</v>
      </c>
      <c r="K25" s="23">
        <f t="shared" si="1"/>
        <v>-13563218389.804598</v>
      </c>
      <c r="L25" s="262">
        <v>20</v>
      </c>
      <c r="M25" s="24">
        <f>入學要求!S72</f>
        <v>0</v>
      </c>
      <c r="N25" s="260" t="s">
        <v>417</v>
      </c>
      <c r="O25" s="34">
        <v>3</v>
      </c>
      <c r="P25" s="34">
        <v>3</v>
      </c>
      <c r="Q25" s="34">
        <v>3</v>
      </c>
      <c r="R25" s="34">
        <v>2</v>
      </c>
      <c r="S25" s="34">
        <v>3</v>
      </c>
      <c r="T25" s="34">
        <v>3</v>
      </c>
      <c r="U25" s="260"/>
    </row>
    <row r="26" spans="1:21" s="266" customFormat="1" ht="18" customHeight="1">
      <c r="A26" s="25" t="s">
        <v>124</v>
      </c>
      <c r="B26" s="25" t="s">
        <v>315</v>
      </c>
      <c r="C26" s="25" t="s">
        <v>125</v>
      </c>
      <c r="D26" s="25" t="s">
        <v>354</v>
      </c>
      <c r="E26" s="25" t="s">
        <v>215</v>
      </c>
      <c r="F26" s="26" t="s">
        <v>393</v>
      </c>
      <c r="G26" s="26" t="s">
        <v>393</v>
      </c>
      <c r="H26" s="26" t="s">
        <v>393</v>
      </c>
      <c r="I26" s="233">
        <f>計分版!D89</f>
        <v>2.8499999999999999E-9</v>
      </c>
      <c r="J26" s="27" t="s">
        <v>393</v>
      </c>
      <c r="K26" s="28" t="s">
        <v>393</v>
      </c>
      <c r="L26" s="45">
        <v>20</v>
      </c>
      <c r="M26" s="29">
        <f>入學要求!S73</f>
        <v>0</v>
      </c>
      <c r="N26" s="30" t="s">
        <v>417</v>
      </c>
      <c r="O26" s="33">
        <v>4</v>
      </c>
      <c r="P26" s="33">
        <v>5</v>
      </c>
      <c r="Q26" s="33">
        <v>3</v>
      </c>
      <c r="R26" s="33">
        <v>3</v>
      </c>
      <c r="S26" s="33">
        <v>3</v>
      </c>
      <c r="T26" s="33">
        <v>3</v>
      </c>
      <c r="U26" s="30" t="s">
        <v>402</v>
      </c>
    </row>
    <row r="27" spans="1:21" ht="18" customHeight="1">
      <c r="A27" s="19" t="s">
        <v>126</v>
      </c>
      <c r="B27" s="19" t="s">
        <v>319</v>
      </c>
      <c r="C27" s="19" t="s">
        <v>210</v>
      </c>
      <c r="D27" s="19" t="s">
        <v>355</v>
      </c>
      <c r="E27" s="19" t="s">
        <v>214</v>
      </c>
      <c r="F27" s="21">
        <f>7+5.5+5.5+5.5+4</f>
        <v>27.5</v>
      </c>
      <c r="G27" s="21">
        <f>7+5.5+5.5+5.5+4</f>
        <v>27.5</v>
      </c>
      <c r="H27" s="21">
        <f>5.5+5.5+5.5+4+4</f>
        <v>24.5</v>
      </c>
      <c r="I27" s="230">
        <f>計分版!D90</f>
        <v>3.9500000000000006E-9</v>
      </c>
      <c r="J27" s="22">
        <f t="shared" ref="J27:J63" si="3">IF(J$1="差距(Median)",I27-G27,IF(J$1="差距(UQ)",I27-F27,IF(J$1="差距(LQ)",I27-H27)))</f>
        <v>-27.499999996050001</v>
      </c>
      <c r="K27" s="23">
        <f t="shared" si="1"/>
        <v>-6962025315.4556952</v>
      </c>
      <c r="L27" s="262">
        <v>24</v>
      </c>
      <c r="M27" s="24">
        <f>入學要求!S74</f>
        <v>0</v>
      </c>
      <c r="N27" s="260" t="s">
        <v>417</v>
      </c>
      <c r="O27" s="34">
        <v>3</v>
      </c>
      <c r="P27" s="34">
        <v>3</v>
      </c>
      <c r="Q27" s="34">
        <v>2</v>
      </c>
      <c r="R27" s="34">
        <v>2</v>
      </c>
      <c r="S27" s="34">
        <v>3</v>
      </c>
      <c r="T27" s="34">
        <v>3</v>
      </c>
      <c r="U27" s="260" t="s">
        <v>402</v>
      </c>
    </row>
    <row r="28" spans="1:21" s="266" customFormat="1" ht="18" customHeight="1">
      <c r="A28" s="25" t="s">
        <v>127</v>
      </c>
      <c r="B28" s="25" t="s">
        <v>319</v>
      </c>
      <c r="C28" s="25" t="s">
        <v>128</v>
      </c>
      <c r="D28" s="25" t="s">
        <v>356</v>
      </c>
      <c r="E28" s="25" t="s">
        <v>214</v>
      </c>
      <c r="F28" s="26">
        <f>8.5*1.5+7+7+5.5+4</f>
        <v>36.25</v>
      </c>
      <c r="G28" s="26">
        <f>8.5*1.5+7+4+4+4</f>
        <v>31.75</v>
      </c>
      <c r="H28" s="26">
        <f>8.5*1.5+5.5+5.5+4+4</f>
        <v>31.75</v>
      </c>
      <c r="I28" s="233">
        <f>計分版!D91</f>
        <v>3.4999999999999999E-9</v>
      </c>
      <c r="J28" s="27">
        <f t="shared" si="3"/>
        <v>-31.749999996500001</v>
      </c>
      <c r="K28" s="28">
        <f t="shared" si="1"/>
        <v>-9071428570.4285717</v>
      </c>
      <c r="L28" s="45">
        <v>20</v>
      </c>
      <c r="M28" s="29">
        <f>入學要求!S75</f>
        <v>0</v>
      </c>
      <c r="N28" s="30" t="s">
        <v>417</v>
      </c>
      <c r="O28" s="33">
        <v>4</v>
      </c>
      <c r="P28" s="33">
        <v>3</v>
      </c>
      <c r="Q28" s="33">
        <v>2</v>
      </c>
      <c r="R28" s="33">
        <v>2</v>
      </c>
      <c r="S28" s="33">
        <v>3</v>
      </c>
      <c r="T28" s="33">
        <v>3</v>
      </c>
      <c r="U28" s="30" t="s">
        <v>402</v>
      </c>
    </row>
    <row r="29" spans="1:21" ht="18" customHeight="1">
      <c r="A29" s="19" t="s">
        <v>129</v>
      </c>
      <c r="B29" s="19" t="s">
        <v>319</v>
      </c>
      <c r="C29" s="19" t="s">
        <v>130</v>
      </c>
      <c r="D29" s="19" t="s">
        <v>357</v>
      </c>
      <c r="E29" s="19" t="s">
        <v>214</v>
      </c>
      <c r="F29" s="21">
        <f>7*1.5+7+7+5.5+5.5</f>
        <v>35.5</v>
      </c>
      <c r="G29" s="21">
        <f>8.5*1.5+5.5+5.5+5.5+4</f>
        <v>33.25</v>
      </c>
      <c r="H29" s="21">
        <f>7*1.5+7+5.5+5.5+4</f>
        <v>32.5</v>
      </c>
      <c r="I29" s="230">
        <f>計分版!D92</f>
        <v>3.6500000000000004E-9</v>
      </c>
      <c r="J29" s="22">
        <f t="shared" si="3"/>
        <v>-33.249999996349999</v>
      </c>
      <c r="K29" s="23">
        <f t="shared" si="1"/>
        <v>-9109589040.0958881</v>
      </c>
      <c r="L29" s="262">
        <v>14</v>
      </c>
      <c r="M29" s="24">
        <f>入學要求!S76</f>
        <v>0</v>
      </c>
      <c r="N29" s="260" t="s">
        <v>417</v>
      </c>
      <c r="O29" s="34">
        <v>3</v>
      </c>
      <c r="P29" s="34">
        <v>4</v>
      </c>
      <c r="Q29" s="34">
        <v>2</v>
      </c>
      <c r="R29" s="34">
        <v>2</v>
      </c>
      <c r="S29" s="34">
        <v>3</v>
      </c>
      <c r="T29" s="34">
        <v>3</v>
      </c>
      <c r="U29" s="260" t="s">
        <v>402</v>
      </c>
    </row>
    <row r="30" spans="1:21" s="266" customFormat="1" ht="18" customHeight="1">
      <c r="A30" s="25" t="s">
        <v>131</v>
      </c>
      <c r="B30" s="25" t="s">
        <v>319</v>
      </c>
      <c r="C30" s="25" t="s">
        <v>132</v>
      </c>
      <c r="D30" s="25" t="s">
        <v>358</v>
      </c>
      <c r="E30" s="25" t="s">
        <v>82</v>
      </c>
      <c r="F30" s="26">
        <f>8.5*1.5+7*1.5+7+5*1.2+5.5</f>
        <v>41.75</v>
      </c>
      <c r="G30" s="26">
        <f>7*1.5+5*1.5+7*1.2+5.5+5.5</f>
        <v>37.4</v>
      </c>
      <c r="H30" s="26">
        <f>7*1.5+5*1.5+5*1.2+5.5+4*1.2</f>
        <v>34.299999999999997</v>
      </c>
      <c r="I30" s="233">
        <f>計分版!D93</f>
        <v>3.8499999999999997E-9</v>
      </c>
      <c r="J30" s="27">
        <f t="shared" si="3"/>
        <v>-37.399999996150001</v>
      </c>
      <c r="K30" s="28">
        <f t="shared" si="1"/>
        <v>-9714285713.2857151</v>
      </c>
      <c r="L30" s="45">
        <v>18</v>
      </c>
      <c r="M30" s="29">
        <f>入學要求!S77</f>
        <v>0</v>
      </c>
      <c r="N30" s="30" t="s">
        <v>417</v>
      </c>
      <c r="O30" s="33">
        <v>3</v>
      </c>
      <c r="P30" s="33">
        <v>3</v>
      </c>
      <c r="Q30" s="33">
        <v>4</v>
      </c>
      <c r="R30" s="33">
        <v>2</v>
      </c>
      <c r="S30" s="33">
        <v>3</v>
      </c>
      <c r="T30" s="33">
        <v>3</v>
      </c>
      <c r="U30" s="30" t="s">
        <v>402</v>
      </c>
    </row>
    <row r="31" spans="1:21" ht="18" customHeight="1">
      <c r="A31" s="19" t="s">
        <v>211</v>
      </c>
      <c r="B31" s="19" t="s">
        <v>319</v>
      </c>
      <c r="C31" s="19" t="s">
        <v>206</v>
      </c>
      <c r="D31" s="19" t="s">
        <v>359</v>
      </c>
      <c r="E31" s="19" t="s">
        <v>214</v>
      </c>
      <c r="F31" s="21">
        <f>7+5.5+5.5+5.5+4</f>
        <v>27.5</v>
      </c>
      <c r="G31" s="21">
        <f>7+5.5+4+4+4</f>
        <v>24.5</v>
      </c>
      <c r="H31" s="21">
        <f>5.5+5.5+4+4+4</f>
        <v>23</v>
      </c>
      <c r="I31" s="230">
        <f>計分版!D94</f>
        <v>3.9500000000000006E-9</v>
      </c>
      <c r="J31" s="22">
        <f t="shared" si="3"/>
        <v>-24.499999996050001</v>
      </c>
      <c r="K31" s="23">
        <f t="shared" si="1"/>
        <v>-6202531644.5696192</v>
      </c>
      <c r="L31" s="262">
        <v>21</v>
      </c>
      <c r="M31" s="24">
        <f>入學要求!S78</f>
        <v>0</v>
      </c>
      <c r="N31" s="260" t="s">
        <v>417</v>
      </c>
      <c r="O31" s="34">
        <v>3</v>
      </c>
      <c r="P31" s="34">
        <v>3</v>
      </c>
      <c r="Q31" s="34">
        <v>2</v>
      </c>
      <c r="R31" s="34">
        <v>2</v>
      </c>
      <c r="S31" s="34">
        <v>3</v>
      </c>
      <c r="T31" s="34">
        <v>3</v>
      </c>
      <c r="U31" s="260"/>
    </row>
    <row r="32" spans="1:21" s="266" customFormat="1" ht="18" customHeight="1">
      <c r="A32" s="25" t="s">
        <v>133</v>
      </c>
      <c r="B32" s="25" t="s">
        <v>320</v>
      </c>
      <c r="C32" s="25" t="s">
        <v>216</v>
      </c>
      <c r="D32" s="25" t="s">
        <v>360</v>
      </c>
      <c r="E32" s="25" t="s">
        <v>214</v>
      </c>
      <c r="F32" s="26">
        <f>7*1.5+5.5*1.5+4*1.5+4+4</f>
        <v>32.75</v>
      </c>
      <c r="G32" s="26">
        <f>5.5*1.5+5.5*1.5+3*1.75+3*1.5+4</f>
        <v>30.25</v>
      </c>
      <c r="H32" s="26">
        <f>5.5*1.5+4*1.5+4*1.5+4+4</f>
        <v>28.25</v>
      </c>
      <c r="I32" s="233">
        <f>計分版!D95</f>
        <v>4.2249999999999998E-9</v>
      </c>
      <c r="J32" s="27">
        <f t="shared" si="3"/>
        <v>-30.249999995774999</v>
      </c>
      <c r="K32" s="28">
        <f t="shared" si="1"/>
        <v>-7159763312.6094675</v>
      </c>
      <c r="L32" s="45">
        <v>304</v>
      </c>
      <c r="M32" s="29">
        <f>入學要求!S79</f>
        <v>0</v>
      </c>
      <c r="N32" s="30" t="s">
        <v>416</v>
      </c>
      <c r="O32" s="33">
        <v>3</v>
      </c>
      <c r="P32" s="33">
        <v>3</v>
      </c>
      <c r="Q32" s="33">
        <v>3</v>
      </c>
      <c r="R32" s="33">
        <v>2</v>
      </c>
      <c r="S32" s="33">
        <v>3</v>
      </c>
      <c r="T32" s="33">
        <v>3</v>
      </c>
      <c r="U32" s="30"/>
    </row>
    <row r="33" spans="1:21" ht="18" customHeight="1">
      <c r="A33" s="19" t="s">
        <v>184</v>
      </c>
      <c r="B33" s="19" t="s">
        <v>320</v>
      </c>
      <c r="C33" s="19" t="s">
        <v>185</v>
      </c>
      <c r="D33" s="19" t="s">
        <v>361</v>
      </c>
      <c r="E33" s="19" t="s">
        <v>214</v>
      </c>
      <c r="F33" s="21">
        <f>7*1.75+7*1.5+7*1.5+5.5*1.75+5.5*1.5</f>
        <v>51.125</v>
      </c>
      <c r="G33" s="21">
        <f>8.5*1.5+7*1.75+7*1.75+4*1.5+4</f>
        <v>47.25</v>
      </c>
      <c r="H33" s="21">
        <f>8.5*1.75+5.5*1.75+5.5*1.5+5.5*1.5+4*1.25</f>
        <v>46</v>
      </c>
      <c r="I33" s="230">
        <f>計分版!D96</f>
        <v>4.2249999999999998E-9</v>
      </c>
      <c r="J33" s="22">
        <f t="shared" si="3"/>
        <v>-47.249999995774999</v>
      </c>
      <c r="K33" s="23">
        <f t="shared" si="1"/>
        <v>-11183431951.662722</v>
      </c>
      <c r="L33" s="262">
        <v>30</v>
      </c>
      <c r="M33" s="24">
        <f>入學要求!S80</f>
        <v>0</v>
      </c>
      <c r="N33" s="260" t="s">
        <v>416</v>
      </c>
      <c r="O33" s="34">
        <v>3</v>
      </c>
      <c r="P33" s="34">
        <v>3</v>
      </c>
      <c r="Q33" s="34">
        <v>4</v>
      </c>
      <c r="R33" s="34">
        <v>3</v>
      </c>
      <c r="S33" s="34">
        <v>3</v>
      </c>
      <c r="T33" s="34">
        <v>3</v>
      </c>
      <c r="U33" s="260"/>
    </row>
    <row r="34" spans="1:21" s="266" customFormat="1" ht="18" customHeight="1">
      <c r="A34" s="25" t="s">
        <v>186</v>
      </c>
      <c r="B34" s="25" t="s">
        <v>320</v>
      </c>
      <c r="C34" s="25" t="s">
        <v>187</v>
      </c>
      <c r="D34" s="25" t="s">
        <v>362</v>
      </c>
      <c r="E34" s="25" t="s">
        <v>214</v>
      </c>
      <c r="F34" s="26">
        <f>7*1.5+5.5*1.5+5.5+4+4</f>
        <v>32.25</v>
      </c>
      <c r="G34" s="26">
        <f>5.5*1.5+5.5*1.5+4+4+4</f>
        <v>28.5</v>
      </c>
      <c r="H34" s="26">
        <f>4*1.5+4*1.5+5.5+4+4</f>
        <v>25.5</v>
      </c>
      <c r="I34" s="233">
        <f>計分版!D97</f>
        <v>4.1000000000000003E-9</v>
      </c>
      <c r="J34" s="27">
        <f t="shared" si="3"/>
        <v>-28.499999995900001</v>
      </c>
      <c r="K34" s="28">
        <f t="shared" si="1"/>
        <v>-6951219511.1951218</v>
      </c>
      <c r="L34" s="45">
        <v>57</v>
      </c>
      <c r="M34" s="29">
        <f>入學要求!S81</f>
        <v>0</v>
      </c>
      <c r="N34" s="30" t="s">
        <v>416</v>
      </c>
      <c r="O34" s="33">
        <v>3</v>
      </c>
      <c r="P34" s="33">
        <v>3</v>
      </c>
      <c r="Q34" s="33">
        <v>3</v>
      </c>
      <c r="R34" s="33">
        <v>2</v>
      </c>
      <c r="S34" s="33">
        <v>3</v>
      </c>
      <c r="T34" s="33">
        <v>3</v>
      </c>
      <c r="U34" s="30"/>
    </row>
    <row r="35" spans="1:21" ht="18" customHeight="1">
      <c r="A35" s="19" t="s">
        <v>188</v>
      </c>
      <c r="B35" s="19" t="s">
        <v>320</v>
      </c>
      <c r="C35" s="19" t="s">
        <v>189</v>
      </c>
      <c r="D35" s="19" t="s">
        <v>363</v>
      </c>
      <c r="E35" s="19" t="s">
        <v>214</v>
      </c>
      <c r="F35" s="21">
        <f>7*1.5+7*1.5+5.5*1.5+4*1.5+5.5*1.5</f>
        <v>43.5</v>
      </c>
      <c r="G35" s="21">
        <f>5.5*1.5+7*1.5+7*1.5+5.5*1.5+5.5</f>
        <v>43</v>
      </c>
      <c r="H35" s="21">
        <f>5.5*1.5+5.5*1.5+7*1.5+7*1.5+5.5</f>
        <v>43</v>
      </c>
      <c r="I35" s="230">
        <f>計分版!D98</f>
        <v>4.1000000000000003E-9</v>
      </c>
      <c r="J35" s="22">
        <f t="shared" si="3"/>
        <v>-42.999999995899998</v>
      </c>
      <c r="K35" s="23">
        <f t="shared" si="1"/>
        <v>-10487804877.048779</v>
      </c>
      <c r="L35" s="262">
        <v>49</v>
      </c>
      <c r="M35" s="24">
        <f>入學要求!S82</f>
        <v>0</v>
      </c>
      <c r="N35" s="260" t="s">
        <v>417</v>
      </c>
      <c r="O35" s="34">
        <v>3</v>
      </c>
      <c r="P35" s="34">
        <v>3</v>
      </c>
      <c r="Q35" s="34">
        <v>3</v>
      </c>
      <c r="R35" s="34">
        <v>2</v>
      </c>
      <c r="S35" s="34">
        <v>3</v>
      </c>
      <c r="T35" s="34">
        <v>3</v>
      </c>
      <c r="U35" s="260"/>
    </row>
    <row r="36" spans="1:21" s="266" customFormat="1" ht="18" customHeight="1">
      <c r="A36" s="25" t="s">
        <v>190</v>
      </c>
      <c r="B36" s="25" t="s">
        <v>320</v>
      </c>
      <c r="C36" s="25" t="s">
        <v>191</v>
      </c>
      <c r="D36" s="25" t="s">
        <v>364</v>
      </c>
      <c r="E36" s="25" t="s">
        <v>214</v>
      </c>
      <c r="F36" s="26">
        <f>5.5*1.5+5.5*1.5+5.5*1.5+5.5+4</f>
        <v>34.25</v>
      </c>
      <c r="G36" s="26">
        <f>7*1.5+5.5*1.5+5.5+3*1.5+3</f>
        <v>31.75</v>
      </c>
      <c r="H36" s="26">
        <f>4*1.5+4*1.5+4*1.5+4*1.5+5.5</f>
        <v>29.5</v>
      </c>
      <c r="I36" s="233">
        <f>計分版!D99</f>
        <v>4.1000000000000003E-9</v>
      </c>
      <c r="J36" s="27">
        <f t="shared" si="3"/>
        <v>-31.749999995900001</v>
      </c>
      <c r="K36" s="28">
        <f t="shared" si="1"/>
        <v>-7743902438.0243902</v>
      </c>
      <c r="L36" s="45">
        <v>35</v>
      </c>
      <c r="M36" s="29">
        <f>入學要求!S83</f>
        <v>0</v>
      </c>
      <c r="N36" s="30" t="s">
        <v>416</v>
      </c>
      <c r="O36" s="33">
        <v>3</v>
      </c>
      <c r="P36" s="33">
        <v>3</v>
      </c>
      <c r="Q36" s="33">
        <v>3</v>
      </c>
      <c r="R36" s="33">
        <v>2</v>
      </c>
      <c r="S36" s="33">
        <v>3</v>
      </c>
      <c r="T36" s="33">
        <v>3</v>
      </c>
      <c r="U36" s="30"/>
    </row>
    <row r="37" spans="1:21" ht="18" customHeight="1">
      <c r="A37" s="19" t="s">
        <v>212</v>
      </c>
      <c r="B37" s="19" t="s">
        <v>320</v>
      </c>
      <c r="C37" s="19" t="s">
        <v>217</v>
      </c>
      <c r="D37" s="19" t="s">
        <v>365</v>
      </c>
      <c r="E37" s="19" t="s">
        <v>214</v>
      </c>
      <c r="F37" s="21">
        <f>7*1.5+7*1.5+7*1.5+7*1.75+7*1.25</f>
        <v>52.5</v>
      </c>
      <c r="G37" s="21">
        <f>8.5*1.5+7*1.5+5.5*1.5+7*1.75+7*1.25</f>
        <v>52.5</v>
      </c>
      <c r="H37" s="21">
        <f>8.5*1.5+5.5*1.5+5.5*1.5+7*1.75+4*1.25</f>
        <v>46.5</v>
      </c>
      <c r="I37" s="230">
        <f>計分版!D100</f>
        <v>4.2249999999999998E-9</v>
      </c>
      <c r="J37" s="22">
        <f t="shared" si="3"/>
        <v>-52.499999995774999</v>
      </c>
      <c r="K37" s="23">
        <f t="shared" si="1"/>
        <v>-12426035501.95858</v>
      </c>
      <c r="L37" s="262">
        <v>30</v>
      </c>
      <c r="M37" s="24">
        <f>入學要求!S84</f>
        <v>0</v>
      </c>
      <c r="N37" s="260" t="s">
        <v>416</v>
      </c>
      <c r="O37" s="34">
        <v>3</v>
      </c>
      <c r="P37" s="34">
        <v>4</v>
      </c>
      <c r="Q37" s="34">
        <v>5</v>
      </c>
      <c r="R37" s="34">
        <v>3</v>
      </c>
      <c r="S37" s="34">
        <v>3</v>
      </c>
      <c r="T37" s="34">
        <v>3</v>
      </c>
      <c r="U37" s="260"/>
    </row>
    <row r="38" spans="1:21" s="266" customFormat="1" ht="18" customHeight="1">
      <c r="A38" s="25" t="s">
        <v>134</v>
      </c>
      <c r="B38" s="25" t="s">
        <v>321</v>
      </c>
      <c r="C38" s="25" t="s">
        <v>192</v>
      </c>
      <c r="D38" s="25" t="s">
        <v>366</v>
      </c>
      <c r="E38" s="25" t="s">
        <v>395</v>
      </c>
      <c r="F38" s="26">
        <f>6+6+7+5+7+7+6</f>
        <v>44</v>
      </c>
      <c r="G38" s="26">
        <f>6+6+6+6+7+6+6</f>
        <v>43</v>
      </c>
      <c r="H38" s="26">
        <f>7+6+6+5+6+6+5</f>
        <v>41</v>
      </c>
      <c r="I38" s="233">
        <f>計分版!D101</f>
        <v>3.4000000000000003E-9</v>
      </c>
      <c r="J38" s="27">
        <f t="shared" si="3"/>
        <v>-42.999999996600003</v>
      </c>
      <c r="K38" s="28">
        <f t="shared" si="1"/>
        <v>-12647058822.529411</v>
      </c>
      <c r="L38" s="45">
        <v>265</v>
      </c>
      <c r="M38" s="29">
        <f>入學要求!S85</f>
        <v>0</v>
      </c>
      <c r="N38" s="30" t="s">
        <v>417</v>
      </c>
      <c r="O38" s="33">
        <v>3</v>
      </c>
      <c r="P38" s="33">
        <v>4</v>
      </c>
      <c r="Q38" s="33">
        <v>3</v>
      </c>
      <c r="R38" s="33">
        <v>3</v>
      </c>
      <c r="S38" s="33">
        <v>3</v>
      </c>
      <c r="T38" s="33">
        <v>3</v>
      </c>
      <c r="U38" s="30" t="s">
        <v>404</v>
      </c>
    </row>
    <row r="39" spans="1:21" ht="18" customHeight="1">
      <c r="A39" s="19" t="s">
        <v>135</v>
      </c>
      <c r="B39" s="19" t="s">
        <v>321</v>
      </c>
      <c r="C39" s="19" t="s">
        <v>193</v>
      </c>
      <c r="D39" s="19" t="s">
        <v>367</v>
      </c>
      <c r="E39" s="19" t="s">
        <v>395</v>
      </c>
      <c r="F39" s="21">
        <f>7+7+7+7+7+6+(6+7)/2</f>
        <v>47.5</v>
      </c>
      <c r="G39" s="21">
        <f>7+6+7+6+7+7+(7+6)/2</f>
        <v>46.5</v>
      </c>
      <c r="H39" s="21">
        <f>7+7+7+6+7+6+6</f>
        <v>46</v>
      </c>
      <c r="I39" s="230">
        <f>計分版!D102</f>
        <v>3.4000000000000003E-9</v>
      </c>
      <c r="J39" s="22">
        <f t="shared" si="3"/>
        <v>-46.499999996600003</v>
      </c>
      <c r="K39" s="23">
        <f t="shared" si="1"/>
        <v>-13676470587.235294</v>
      </c>
      <c r="L39" s="262">
        <v>30</v>
      </c>
      <c r="M39" s="24">
        <f>入學要求!S86</f>
        <v>0</v>
      </c>
      <c r="N39" s="260" t="s">
        <v>417</v>
      </c>
      <c r="O39" s="34">
        <v>3</v>
      </c>
      <c r="P39" s="34">
        <v>4</v>
      </c>
      <c r="Q39" s="34">
        <v>3</v>
      </c>
      <c r="R39" s="34">
        <v>3</v>
      </c>
      <c r="S39" s="34">
        <v>3</v>
      </c>
      <c r="T39" s="34">
        <v>3</v>
      </c>
      <c r="U39" s="260" t="s">
        <v>404</v>
      </c>
    </row>
    <row r="40" spans="1:21" s="266" customFormat="1" ht="18" customHeight="1">
      <c r="A40" s="25" t="s">
        <v>136</v>
      </c>
      <c r="B40" s="25" t="s">
        <v>321</v>
      </c>
      <c r="C40" s="25" t="s">
        <v>137</v>
      </c>
      <c r="D40" s="25" t="s">
        <v>368</v>
      </c>
      <c r="E40" s="25" t="s">
        <v>220</v>
      </c>
      <c r="F40" s="26">
        <f>4+4+7+4+7*1.5+5.5*1.5</f>
        <v>37.75</v>
      </c>
      <c r="G40" s="26">
        <f>8.5+3+4+4+7*1.5+5.5</f>
        <v>35.5</v>
      </c>
      <c r="H40" s="26">
        <f>8.5+4+5.5+5.5+4*1.5+4*1.5</f>
        <v>35.5</v>
      </c>
      <c r="I40" s="233">
        <f>計分版!D103</f>
        <v>2.7000000000000002E-9</v>
      </c>
      <c r="J40" s="27">
        <f t="shared" si="3"/>
        <v>-35.499999997300002</v>
      </c>
      <c r="K40" s="28">
        <f t="shared" si="1"/>
        <v>-13148148147.148148</v>
      </c>
      <c r="L40" s="45">
        <v>217</v>
      </c>
      <c r="M40" s="29">
        <f>入學要求!S87</f>
        <v>0</v>
      </c>
      <c r="N40" s="30" t="s">
        <v>417</v>
      </c>
      <c r="O40" s="33">
        <v>3</v>
      </c>
      <c r="P40" s="33">
        <v>3</v>
      </c>
      <c r="Q40" s="33">
        <v>2</v>
      </c>
      <c r="R40" s="33">
        <v>2</v>
      </c>
      <c r="S40" s="33">
        <v>3</v>
      </c>
      <c r="T40" s="33">
        <v>3</v>
      </c>
      <c r="U40" s="30"/>
    </row>
    <row r="41" spans="1:21" ht="18" customHeight="1">
      <c r="A41" s="19" t="s">
        <v>138</v>
      </c>
      <c r="B41" s="19" t="s">
        <v>321</v>
      </c>
      <c r="C41" s="19" t="s">
        <v>139</v>
      </c>
      <c r="D41" s="19" t="s">
        <v>369</v>
      </c>
      <c r="E41" s="19" t="s">
        <v>215</v>
      </c>
      <c r="F41" s="21">
        <f>7+4+8.5+4+8.5+8.5</f>
        <v>40.5</v>
      </c>
      <c r="G41" s="21">
        <f>4+5.5+7+7+8.5+7</f>
        <v>39</v>
      </c>
      <c r="H41" s="21">
        <f>5.5+5.5+7+4+8.5+7</f>
        <v>37.5</v>
      </c>
      <c r="I41" s="230">
        <f>計分版!D104</f>
        <v>2.8499999999999999E-9</v>
      </c>
      <c r="J41" s="22">
        <f t="shared" si="3"/>
        <v>-38.999999997149999</v>
      </c>
      <c r="K41" s="23">
        <f t="shared" si="1"/>
        <v>-13684210525.31579</v>
      </c>
      <c r="L41" s="262">
        <v>61</v>
      </c>
      <c r="M41" s="24">
        <f>入學要求!S88</f>
        <v>0</v>
      </c>
      <c r="N41" s="260" t="s">
        <v>417</v>
      </c>
      <c r="O41" s="34">
        <v>3</v>
      </c>
      <c r="P41" s="34">
        <v>3</v>
      </c>
      <c r="Q41" s="34">
        <v>3</v>
      </c>
      <c r="R41" s="34">
        <v>3</v>
      </c>
      <c r="S41" s="34">
        <v>3</v>
      </c>
      <c r="T41" s="34">
        <v>3</v>
      </c>
      <c r="U41" s="260" t="s">
        <v>402</v>
      </c>
    </row>
    <row r="42" spans="1:21" s="266" customFormat="1" ht="18" customHeight="1">
      <c r="A42" s="25" t="s">
        <v>140</v>
      </c>
      <c r="B42" s="25" t="s">
        <v>321</v>
      </c>
      <c r="C42" s="25" t="s">
        <v>141</v>
      </c>
      <c r="D42" s="25" t="s">
        <v>370</v>
      </c>
      <c r="E42" s="25" t="s">
        <v>214</v>
      </c>
      <c r="F42" s="26">
        <f>5.5+5.5+5.5+5.5+5.5</f>
        <v>27.5</v>
      </c>
      <c r="G42" s="26">
        <f>7+5.5+5.5+4+4</f>
        <v>26</v>
      </c>
      <c r="H42" s="26">
        <f>5.5+4+4+4+4</f>
        <v>21.5</v>
      </c>
      <c r="I42" s="233">
        <f>計分版!D105</f>
        <v>3.9500000000000006E-9</v>
      </c>
      <c r="J42" s="27">
        <f t="shared" si="3"/>
        <v>-25.999999996050001</v>
      </c>
      <c r="K42" s="28">
        <f t="shared" si="1"/>
        <v>-6582278480.0126572</v>
      </c>
      <c r="L42" s="45">
        <v>32</v>
      </c>
      <c r="M42" s="29">
        <f>入學要求!S89</f>
        <v>0</v>
      </c>
      <c r="N42" s="30" t="s">
        <v>416</v>
      </c>
      <c r="O42" s="33">
        <v>3</v>
      </c>
      <c r="P42" s="33">
        <v>3</v>
      </c>
      <c r="Q42" s="33">
        <v>2</v>
      </c>
      <c r="R42" s="33">
        <v>2</v>
      </c>
      <c r="S42" s="33">
        <v>3</v>
      </c>
      <c r="T42" s="33">
        <v>3</v>
      </c>
      <c r="U42" s="30"/>
    </row>
    <row r="43" spans="1:21" ht="18" customHeight="1">
      <c r="A43" s="19" t="s">
        <v>142</v>
      </c>
      <c r="B43" s="19" t="s">
        <v>321</v>
      </c>
      <c r="C43" s="19" t="s">
        <v>143</v>
      </c>
      <c r="D43" s="19" t="s">
        <v>371</v>
      </c>
      <c r="E43" s="19" t="s">
        <v>215</v>
      </c>
      <c r="F43" s="21">
        <f>7+3+5.5+4+8.5+8.5</f>
        <v>36.5</v>
      </c>
      <c r="G43" s="21">
        <f>4+5.5+7+4+7+7</f>
        <v>34.5</v>
      </c>
      <c r="H43" s="21">
        <f>5.5+3+5.5+8.5+5.5+5.5</f>
        <v>33.5</v>
      </c>
      <c r="I43" s="230">
        <f>計分版!D106</f>
        <v>2.8499999999999999E-9</v>
      </c>
      <c r="J43" s="22">
        <f t="shared" si="3"/>
        <v>-34.499999997149999</v>
      </c>
      <c r="K43" s="23">
        <f t="shared" si="1"/>
        <v>-12105263156.894737</v>
      </c>
      <c r="L43" s="262">
        <v>25</v>
      </c>
      <c r="M43" s="24">
        <f>入學要求!S90</f>
        <v>0</v>
      </c>
      <c r="N43" s="260" t="s">
        <v>417</v>
      </c>
      <c r="O43" s="34">
        <v>3</v>
      </c>
      <c r="P43" s="34">
        <v>3</v>
      </c>
      <c r="Q43" s="34">
        <v>2</v>
      </c>
      <c r="R43" s="34">
        <v>2</v>
      </c>
      <c r="S43" s="34">
        <v>3</v>
      </c>
      <c r="T43" s="34">
        <v>3</v>
      </c>
      <c r="U43" s="260"/>
    </row>
    <row r="44" spans="1:21" s="266" customFormat="1" ht="18" customHeight="1">
      <c r="A44" s="25" t="s">
        <v>194</v>
      </c>
      <c r="B44" s="25" t="s">
        <v>321</v>
      </c>
      <c r="C44" s="25" t="s">
        <v>195</v>
      </c>
      <c r="D44" s="25" t="s">
        <v>372</v>
      </c>
      <c r="E44" s="25" t="s">
        <v>215</v>
      </c>
      <c r="F44" s="26">
        <f>5.5+5.5+8.5+4+7+7</f>
        <v>37.5</v>
      </c>
      <c r="G44" s="26">
        <f>5.5+5.5+7+5.5+7+7</f>
        <v>37.5</v>
      </c>
      <c r="H44" s="26">
        <f>8.5+5.5+7+5.5+5.5+5.5</f>
        <v>37.5</v>
      </c>
      <c r="I44" s="233">
        <f>計分版!D107</f>
        <v>2.8499999999999999E-9</v>
      </c>
      <c r="J44" s="27">
        <f t="shared" si="3"/>
        <v>-37.499999997149999</v>
      </c>
      <c r="K44" s="28">
        <f t="shared" si="1"/>
        <v>-13157894735.842106</v>
      </c>
      <c r="L44" s="45">
        <v>20</v>
      </c>
      <c r="M44" s="29">
        <f>入學要求!S91</f>
        <v>0</v>
      </c>
      <c r="N44" s="30" t="s">
        <v>417</v>
      </c>
      <c r="O44" s="33">
        <v>3</v>
      </c>
      <c r="P44" s="33">
        <v>3</v>
      </c>
      <c r="Q44" s="33">
        <v>3</v>
      </c>
      <c r="R44" s="33">
        <v>2</v>
      </c>
      <c r="S44" s="33">
        <v>3</v>
      </c>
      <c r="T44" s="33">
        <v>3</v>
      </c>
      <c r="U44" s="30"/>
    </row>
    <row r="45" spans="1:21" ht="18" customHeight="1">
      <c r="A45" s="19" t="s">
        <v>144</v>
      </c>
      <c r="B45" s="19" t="s">
        <v>322</v>
      </c>
      <c r="C45" s="19" t="s">
        <v>145</v>
      </c>
      <c r="D45" s="19" t="s">
        <v>373</v>
      </c>
      <c r="E45" s="19" t="s">
        <v>214</v>
      </c>
      <c r="F45" s="21">
        <f>5.5*2+5.5*2+5.5*2+4+7</f>
        <v>44</v>
      </c>
      <c r="G45" s="21">
        <f>5.5*2+5.5*2+7*1.5+4+4</f>
        <v>40.5</v>
      </c>
      <c r="H45" s="21">
        <f>5.5*2+5.5*2+4*2+4+4</f>
        <v>38</v>
      </c>
      <c r="I45" s="230">
        <f>計分版!D108</f>
        <v>4.3500000000000001E-9</v>
      </c>
      <c r="J45" s="22">
        <f t="shared" si="3"/>
        <v>-40.499999995650001</v>
      </c>
      <c r="K45" s="23">
        <f t="shared" si="1"/>
        <v>-9310344826.5862064</v>
      </c>
      <c r="L45" s="262">
        <v>374</v>
      </c>
      <c r="M45" s="24">
        <f>入學要求!S92</f>
        <v>0</v>
      </c>
      <c r="N45" s="260" t="s">
        <v>417</v>
      </c>
      <c r="O45" s="34">
        <v>3</v>
      </c>
      <c r="P45" s="34">
        <v>3</v>
      </c>
      <c r="Q45" s="34">
        <v>2</v>
      </c>
      <c r="R45" s="34">
        <v>2</v>
      </c>
      <c r="S45" s="34">
        <v>3</v>
      </c>
      <c r="T45" s="34">
        <v>3</v>
      </c>
      <c r="U45" s="260"/>
    </row>
    <row r="46" spans="1:21" s="266" customFormat="1" ht="18" customHeight="1">
      <c r="A46" s="25" t="s">
        <v>196</v>
      </c>
      <c r="B46" s="25" t="s">
        <v>322</v>
      </c>
      <c r="C46" s="25" t="s">
        <v>197</v>
      </c>
      <c r="D46" s="25" t="s">
        <v>374</v>
      </c>
      <c r="E46" s="25" t="s">
        <v>214</v>
      </c>
      <c r="F46" s="26">
        <f>7*1.5+7*1.5+7*1.5+5.5*1.5+5.5*1.5</f>
        <v>48</v>
      </c>
      <c r="G46" s="26">
        <f>7*1.5+5.5*1.5+5.5*1.5+5.5*1.5+5.5*1.5</f>
        <v>43.5</v>
      </c>
      <c r="H46" s="26">
        <f>7*1.5+5.5*1.5+5.5*1.5+5.5*1.5+5.5*1.5</f>
        <v>43.5</v>
      </c>
      <c r="I46" s="233">
        <f>計分版!D109</f>
        <v>4.1000000000000003E-9</v>
      </c>
      <c r="J46" s="27">
        <f t="shared" si="3"/>
        <v>-43.499999995899998</v>
      </c>
      <c r="K46" s="28">
        <f t="shared" si="1"/>
        <v>-10609756096.560974</v>
      </c>
      <c r="L46" s="45">
        <v>20</v>
      </c>
      <c r="M46" s="29">
        <f>入學要求!S93</f>
        <v>0</v>
      </c>
      <c r="N46" s="30" t="s">
        <v>416</v>
      </c>
      <c r="O46" s="33">
        <v>3</v>
      </c>
      <c r="P46" s="33">
        <v>4</v>
      </c>
      <c r="Q46" s="33">
        <v>4</v>
      </c>
      <c r="R46" s="33">
        <v>2</v>
      </c>
      <c r="S46" s="33">
        <v>4</v>
      </c>
      <c r="T46" s="33">
        <v>3</v>
      </c>
      <c r="U46" s="30"/>
    </row>
    <row r="47" spans="1:21" ht="18" customHeight="1">
      <c r="A47" s="19" t="s">
        <v>146</v>
      </c>
      <c r="B47" s="19" t="s">
        <v>322</v>
      </c>
      <c r="C47" s="19" t="s">
        <v>392</v>
      </c>
      <c r="D47" s="19" t="s">
        <v>375</v>
      </c>
      <c r="E47" s="19" t="s">
        <v>214</v>
      </c>
      <c r="F47" s="21">
        <f>8.5*2+8.5+7+7+5.5</f>
        <v>45</v>
      </c>
      <c r="G47" s="21">
        <f>8.5*2+8.5+7+5.5+5.5</f>
        <v>43.5</v>
      </c>
      <c r="H47" s="21">
        <f>8.5*2+8.5+7+5.5+4</f>
        <v>42</v>
      </c>
      <c r="I47" s="230">
        <f>計分版!D110</f>
        <v>4.3500000000000001E-9</v>
      </c>
      <c r="J47" s="22">
        <f t="shared" si="3"/>
        <v>-43.499999995650001</v>
      </c>
      <c r="K47" s="23">
        <f t="shared" si="1"/>
        <v>-9999999999</v>
      </c>
      <c r="L47" s="262">
        <v>27</v>
      </c>
      <c r="M47" s="24">
        <f>入學要求!S94</f>
        <v>0</v>
      </c>
      <c r="N47" s="260" t="s">
        <v>416</v>
      </c>
      <c r="O47" s="34">
        <v>3</v>
      </c>
      <c r="P47" s="34">
        <v>3</v>
      </c>
      <c r="Q47" s="34">
        <v>4</v>
      </c>
      <c r="R47" s="34">
        <v>2</v>
      </c>
      <c r="S47" s="34">
        <v>3</v>
      </c>
      <c r="T47" s="34">
        <v>4</v>
      </c>
      <c r="U47" s="260"/>
    </row>
    <row r="48" spans="1:21" s="266" customFormat="1" ht="18" customHeight="1">
      <c r="A48" s="25" t="s">
        <v>147</v>
      </c>
      <c r="B48" s="25" t="s">
        <v>322</v>
      </c>
      <c r="C48" s="25" t="s">
        <v>199</v>
      </c>
      <c r="D48" s="25" t="s">
        <v>376</v>
      </c>
      <c r="E48" s="25" t="s">
        <v>82</v>
      </c>
      <c r="F48" s="26">
        <f>8.5*1.5+8.5*1.5+7*1.5+5.5+5.5</f>
        <v>47</v>
      </c>
      <c r="G48" s="26">
        <f>7*1.5+7*1.5+7*1.5+7+7</f>
        <v>45.5</v>
      </c>
      <c r="H48" s="26">
        <f>7*1.5+7*1.5+7*1.5+7+5.5</f>
        <v>44</v>
      </c>
      <c r="I48" s="233">
        <f>計分版!D111</f>
        <v>4.1000000000000003E-9</v>
      </c>
      <c r="J48" s="27">
        <f t="shared" si="3"/>
        <v>-45.499999995899998</v>
      </c>
      <c r="K48" s="28">
        <f t="shared" si="1"/>
        <v>-11097560974.609755</v>
      </c>
      <c r="L48" s="45">
        <v>20</v>
      </c>
      <c r="M48" s="29">
        <f>入學要求!S95</f>
        <v>0</v>
      </c>
      <c r="N48" s="30" t="s">
        <v>416</v>
      </c>
      <c r="O48" s="33">
        <v>3</v>
      </c>
      <c r="P48" s="33">
        <v>3</v>
      </c>
      <c r="Q48" s="33">
        <v>4</v>
      </c>
      <c r="R48" s="33">
        <v>2</v>
      </c>
      <c r="S48" s="33">
        <v>4</v>
      </c>
      <c r="T48" s="33">
        <v>3</v>
      </c>
      <c r="U48" s="30"/>
    </row>
    <row r="49" spans="1:21" ht="18" customHeight="1">
      <c r="A49" s="19" t="s">
        <v>148</v>
      </c>
      <c r="B49" s="19" t="s">
        <v>322</v>
      </c>
      <c r="C49" s="19" t="s">
        <v>149</v>
      </c>
      <c r="D49" s="19" t="s">
        <v>377</v>
      </c>
      <c r="E49" s="19" t="s">
        <v>214</v>
      </c>
      <c r="F49" s="21">
        <f>8.5*2+5.5*2+5.5+5.5+5.5</f>
        <v>44.5</v>
      </c>
      <c r="G49" s="21">
        <f>7*2+7*2+5.5+5.5+4</f>
        <v>43</v>
      </c>
      <c r="H49" s="21">
        <f>5.5*2+7*2+5.5+5.5+5.5</f>
        <v>41.5</v>
      </c>
      <c r="I49" s="230">
        <f>計分版!D112</f>
        <v>4.3500000000000001E-9</v>
      </c>
      <c r="J49" s="22">
        <f t="shared" si="3"/>
        <v>-42.999999995650001</v>
      </c>
      <c r="K49" s="23">
        <f t="shared" si="1"/>
        <v>-9885057470.2643681</v>
      </c>
      <c r="L49" s="262">
        <v>26</v>
      </c>
      <c r="M49" s="24">
        <f>入學要求!S96</f>
        <v>0</v>
      </c>
      <c r="N49" s="260" t="s">
        <v>416</v>
      </c>
      <c r="O49" s="34">
        <v>3</v>
      </c>
      <c r="P49" s="34">
        <v>3</v>
      </c>
      <c r="Q49" s="34">
        <v>3</v>
      </c>
      <c r="R49" s="34">
        <v>2</v>
      </c>
      <c r="S49" s="34">
        <v>3</v>
      </c>
      <c r="T49" s="34">
        <v>3</v>
      </c>
      <c r="U49" s="260"/>
    </row>
    <row r="50" spans="1:21" s="266" customFormat="1" ht="18" customHeight="1">
      <c r="A50" s="25" t="s">
        <v>150</v>
      </c>
      <c r="B50" s="25" t="s">
        <v>323</v>
      </c>
      <c r="C50" s="25" t="s">
        <v>151</v>
      </c>
      <c r="D50" s="25" t="s">
        <v>378</v>
      </c>
      <c r="E50" s="25" t="s">
        <v>214</v>
      </c>
      <c r="F50" s="26">
        <f>8.5+7+5.5+5.5+4*1.3</f>
        <v>31.7</v>
      </c>
      <c r="G50" s="26">
        <f>7+7+5.5*1.3+5.5+4</f>
        <v>30.65</v>
      </c>
      <c r="H50" s="26">
        <f>7+7+5.5+5.5+4*1.3</f>
        <v>30.2</v>
      </c>
      <c r="I50" s="233">
        <f>計分版!D113</f>
        <v>3.9500000000000006E-9</v>
      </c>
      <c r="J50" s="27">
        <f t="shared" si="3"/>
        <v>-30.649999996049999</v>
      </c>
      <c r="K50" s="28">
        <f t="shared" si="1"/>
        <v>-7759493669.8860741</v>
      </c>
      <c r="L50" s="45">
        <v>65</v>
      </c>
      <c r="M50" s="29">
        <f>入學要求!S97</f>
        <v>0</v>
      </c>
      <c r="N50" s="30" t="s">
        <v>417</v>
      </c>
      <c r="O50" s="33">
        <v>3</v>
      </c>
      <c r="P50" s="33">
        <v>3</v>
      </c>
      <c r="Q50" s="33">
        <v>2</v>
      </c>
      <c r="R50" s="33">
        <v>2</v>
      </c>
      <c r="S50" s="33">
        <v>3</v>
      </c>
      <c r="T50" s="33">
        <v>3</v>
      </c>
      <c r="U50" s="30"/>
    </row>
    <row r="51" spans="1:21" ht="18" customHeight="1">
      <c r="A51" s="19" t="s">
        <v>152</v>
      </c>
      <c r="B51" s="19" t="s">
        <v>323</v>
      </c>
      <c r="C51" s="19" t="s">
        <v>153</v>
      </c>
      <c r="D51" s="19" t="s">
        <v>379</v>
      </c>
      <c r="E51" s="19" t="s">
        <v>214</v>
      </c>
      <c r="F51" s="21">
        <f>7*1.5+5.5*1.5+7+7+5.5</f>
        <v>38.25</v>
      </c>
      <c r="G51" s="21">
        <f>7*1.5+5.5*1.5+7+5.5+4</f>
        <v>35.25</v>
      </c>
      <c r="H51" s="21">
        <f>8.5+5.5*1.5+4*1.5+5.5+5.5</f>
        <v>33.75</v>
      </c>
      <c r="I51" s="230">
        <f>計分版!D114</f>
        <v>3.9500000000000006E-9</v>
      </c>
      <c r="J51" s="22">
        <f t="shared" si="3"/>
        <v>-35.249999996050001</v>
      </c>
      <c r="K51" s="23">
        <f t="shared" si="1"/>
        <v>-8924050631.9113903</v>
      </c>
      <c r="L51" s="262">
        <v>32</v>
      </c>
      <c r="M51" s="24">
        <f>入學要求!S98</f>
        <v>0</v>
      </c>
      <c r="N51" s="260" t="s">
        <v>416</v>
      </c>
      <c r="O51" s="34">
        <v>3</v>
      </c>
      <c r="P51" s="34">
        <v>3</v>
      </c>
      <c r="Q51" s="34">
        <v>3</v>
      </c>
      <c r="R51" s="34">
        <v>3</v>
      </c>
      <c r="S51" s="34">
        <v>3</v>
      </c>
      <c r="T51" s="34">
        <v>3</v>
      </c>
      <c r="U51" s="260"/>
    </row>
    <row r="52" spans="1:21" s="266" customFormat="1" ht="18" customHeight="1">
      <c r="A52" s="25" t="s">
        <v>154</v>
      </c>
      <c r="B52" s="25" t="s">
        <v>323</v>
      </c>
      <c r="C52" s="25" t="s">
        <v>200</v>
      </c>
      <c r="D52" s="25" t="s">
        <v>380</v>
      </c>
      <c r="E52" s="25" t="s">
        <v>214</v>
      </c>
      <c r="F52" s="26">
        <f>5.5*1.5+8.5+4*1.5+5.5+4</f>
        <v>32.25</v>
      </c>
      <c r="G52" s="26">
        <f>4*1.5+5.5*1.5+5.5+5.5+5.5</f>
        <v>30.75</v>
      </c>
      <c r="H52" s="26">
        <f>5.5*1.5+5.5*1.5+5.5+4+4</f>
        <v>30</v>
      </c>
      <c r="I52" s="233">
        <f>計分版!D115</f>
        <v>4.1000000000000003E-9</v>
      </c>
      <c r="J52" s="27">
        <f t="shared" si="3"/>
        <v>-30.749999995900001</v>
      </c>
      <c r="K52" s="28">
        <f t="shared" si="1"/>
        <v>-7499999999</v>
      </c>
      <c r="L52" s="45">
        <v>67</v>
      </c>
      <c r="M52" s="29">
        <f>入學要求!S99</f>
        <v>0</v>
      </c>
      <c r="N52" s="30" t="s">
        <v>417</v>
      </c>
      <c r="O52" s="33">
        <v>3</v>
      </c>
      <c r="P52" s="33">
        <v>3</v>
      </c>
      <c r="Q52" s="33">
        <v>3</v>
      </c>
      <c r="R52" s="33">
        <v>2</v>
      </c>
      <c r="S52" s="33">
        <v>3</v>
      </c>
      <c r="T52" s="33">
        <v>3</v>
      </c>
      <c r="U52" s="30"/>
    </row>
    <row r="53" spans="1:21" ht="18" customHeight="1">
      <c r="A53" s="19" t="s">
        <v>155</v>
      </c>
      <c r="B53" s="19" t="s">
        <v>323</v>
      </c>
      <c r="C53" s="19" t="s">
        <v>201</v>
      </c>
      <c r="D53" s="19" t="s">
        <v>381</v>
      </c>
      <c r="E53" s="19" t="s">
        <v>214</v>
      </c>
      <c r="F53" s="21">
        <f>8.5+7+7+4*1.5+5.5</f>
        <v>34</v>
      </c>
      <c r="G53" s="21">
        <f>8.5+4*1.5+5.5+5.5+5.5</f>
        <v>31</v>
      </c>
      <c r="H53" s="21">
        <f>7+4*1.5+5.5+5.5+5.5</f>
        <v>29.5</v>
      </c>
      <c r="I53" s="230">
        <f>計分版!D116</f>
        <v>3.9500000000000006E-9</v>
      </c>
      <c r="J53" s="22">
        <f t="shared" si="3"/>
        <v>-30.999999996050001</v>
      </c>
      <c r="K53" s="23">
        <f t="shared" si="1"/>
        <v>-7848101264.8227835</v>
      </c>
      <c r="L53" s="262">
        <v>40</v>
      </c>
      <c r="M53" s="24">
        <f>入學要求!S100</f>
        <v>0</v>
      </c>
      <c r="N53" s="260" t="s">
        <v>416</v>
      </c>
      <c r="O53" s="34">
        <v>3</v>
      </c>
      <c r="P53" s="34">
        <v>3</v>
      </c>
      <c r="Q53" s="34">
        <v>2</v>
      </c>
      <c r="R53" s="34">
        <v>2</v>
      </c>
      <c r="S53" s="34">
        <v>3</v>
      </c>
      <c r="T53" s="34">
        <v>3</v>
      </c>
      <c r="U53" s="260"/>
    </row>
    <row r="54" spans="1:21" s="266" customFormat="1" ht="18" customHeight="1">
      <c r="A54" s="25" t="s">
        <v>156</v>
      </c>
      <c r="B54" s="25" t="s">
        <v>323</v>
      </c>
      <c r="C54" s="25" t="s">
        <v>157</v>
      </c>
      <c r="D54" s="25" t="s">
        <v>382</v>
      </c>
      <c r="E54" s="25" t="s">
        <v>214</v>
      </c>
      <c r="F54" s="26">
        <f>7+5.5+5.5+5.5+5.5</f>
        <v>29</v>
      </c>
      <c r="G54" s="26">
        <f>5.5+5.5+5.5+5.5+5.5</f>
        <v>27.5</v>
      </c>
      <c r="H54" s="26">
        <f>7+5.5+5.5+4+4</f>
        <v>26</v>
      </c>
      <c r="I54" s="233">
        <f>計分版!D117</f>
        <v>3.9500000000000006E-9</v>
      </c>
      <c r="J54" s="27">
        <f t="shared" si="3"/>
        <v>-27.499999996050001</v>
      </c>
      <c r="K54" s="28">
        <f t="shared" si="1"/>
        <v>-6962025315.4556952</v>
      </c>
      <c r="L54" s="45">
        <v>20</v>
      </c>
      <c r="M54" s="29">
        <f>入學要求!S101</f>
        <v>0</v>
      </c>
      <c r="N54" s="30" t="s">
        <v>416</v>
      </c>
      <c r="O54" s="33">
        <v>3</v>
      </c>
      <c r="P54" s="33">
        <v>3</v>
      </c>
      <c r="Q54" s="33">
        <v>2</v>
      </c>
      <c r="R54" s="33">
        <v>2</v>
      </c>
      <c r="S54" s="33">
        <v>3</v>
      </c>
      <c r="T54" s="33">
        <v>3</v>
      </c>
      <c r="U54" s="30"/>
    </row>
    <row r="55" spans="1:21" ht="18" customHeight="1">
      <c r="A55" s="19" t="s">
        <v>158</v>
      </c>
      <c r="B55" s="19" t="s">
        <v>323</v>
      </c>
      <c r="C55" s="19" t="s">
        <v>159</v>
      </c>
      <c r="D55" s="19" t="s">
        <v>383</v>
      </c>
      <c r="E55" s="19" t="s">
        <v>215</v>
      </c>
      <c r="F55" s="21">
        <f>4*1.25+5.5*1.5+4+5.5*1.25+8.5+7</f>
        <v>39.625</v>
      </c>
      <c r="G55" s="21">
        <f>5.5*1.25+5.5*1.5+7+4*1.25+7+3</f>
        <v>37.125</v>
      </c>
      <c r="H55" s="21">
        <f>5.5*1.25+4*1.5+4+5*1.25+7+4</f>
        <v>34.125</v>
      </c>
      <c r="I55" s="230">
        <f>計分版!D118</f>
        <v>3.0750000000000002E-9</v>
      </c>
      <c r="J55" s="22">
        <f t="shared" si="3"/>
        <v>-37.124999996924998</v>
      </c>
      <c r="K55" s="23">
        <f t="shared" si="1"/>
        <v>-12073170730.707315</v>
      </c>
      <c r="L55" s="262">
        <v>38</v>
      </c>
      <c r="M55" s="24">
        <f>入學要求!S102</f>
        <v>0</v>
      </c>
      <c r="N55" s="260" t="s">
        <v>416</v>
      </c>
      <c r="O55" s="34">
        <v>3</v>
      </c>
      <c r="P55" s="34">
        <v>3</v>
      </c>
      <c r="Q55" s="34">
        <v>2</v>
      </c>
      <c r="R55" s="34">
        <v>3</v>
      </c>
      <c r="S55" s="34">
        <v>3</v>
      </c>
      <c r="T55" s="34">
        <v>3</v>
      </c>
      <c r="U55" s="260" t="s">
        <v>404</v>
      </c>
    </row>
    <row r="56" spans="1:21" s="266" customFormat="1" ht="18" customHeight="1">
      <c r="A56" s="25" t="s">
        <v>160</v>
      </c>
      <c r="B56" s="25" t="s">
        <v>323</v>
      </c>
      <c r="C56" s="25" t="s">
        <v>161</v>
      </c>
      <c r="D56" s="25" t="s">
        <v>384</v>
      </c>
      <c r="E56" s="25" t="s">
        <v>214</v>
      </c>
      <c r="F56" s="26">
        <f>8.5+7+7+7*1.3+5.5*1.3</f>
        <v>38.75</v>
      </c>
      <c r="G56" s="26">
        <f>8.5+8.5+7*1.3+4*1.3+5.5</f>
        <v>36.799999999999997</v>
      </c>
      <c r="H56" s="26">
        <f>8.5+7+7*1.3+5.5+4*1.3</f>
        <v>35.300000000000004</v>
      </c>
      <c r="I56" s="233">
        <f>計分版!D119</f>
        <v>3.9500000000000006E-9</v>
      </c>
      <c r="J56" s="27">
        <f t="shared" si="3"/>
        <v>-36.799999996049998</v>
      </c>
      <c r="K56" s="28">
        <f t="shared" si="1"/>
        <v>-9316455695.2025299</v>
      </c>
      <c r="L56" s="45">
        <v>43</v>
      </c>
      <c r="M56" s="29">
        <f>入學要求!S103</f>
        <v>0</v>
      </c>
      <c r="N56" s="30" t="s">
        <v>416</v>
      </c>
      <c r="O56" s="33">
        <v>3</v>
      </c>
      <c r="P56" s="33">
        <v>3</v>
      </c>
      <c r="Q56" s="33">
        <v>2</v>
      </c>
      <c r="R56" s="33">
        <v>2</v>
      </c>
      <c r="S56" s="33">
        <v>3</v>
      </c>
      <c r="T56" s="33">
        <v>3</v>
      </c>
      <c r="U56" s="30"/>
    </row>
    <row r="57" spans="1:21" ht="18" customHeight="1">
      <c r="A57" s="19" t="s">
        <v>202</v>
      </c>
      <c r="B57" s="19" t="s">
        <v>323</v>
      </c>
      <c r="C57" s="19" t="s">
        <v>203</v>
      </c>
      <c r="D57" s="19" t="s">
        <v>385</v>
      </c>
      <c r="E57" s="19" t="s">
        <v>214</v>
      </c>
      <c r="F57" s="21">
        <f>8.5+7+7+7+7*1.3</f>
        <v>38.6</v>
      </c>
      <c r="G57" s="21">
        <f>8.5*1.3+8.5+7+5.5+4</f>
        <v>36.049999999999997</v>
      </c>
      <c r="H57" s="21">
        <f>8.5*1.3+7+5.5+5.5+5.5</f>
        <v>34.549999999999997</v>
      </c>
      <c r="I57" s="230">
        <f>計分版!D120</f>
        <v>3.9500000000000006E-9</v>
      </c>
      <c r="J57" s="22">
        <f t="shared" si="3"/>
        <v>-36.049999996049998</v>
      </c>
      <c r="K57" s="23">
        <f t="shared" si="1"/>
        <v>-9126582277.4810104</v>
      </c>
      <c r="L57" s="262">
        <v>18</v>
      </c>
      <c r="M57" s="24">
        <f>入學要求!S104</f>
        <v>0</v>
      </c>
      <c r="N57" s="260" t="s">
        <v>416</v>
      </c>
      <c r="O57" s="34">
        <v>3</v>
      </c>
      <c r="P57" s="34">
        <v>4</v>
      </c>
      <c r="Q57" s="34">
        <v>2</v>
      </c>
      <c r="R57" s="34">
        <v>2</v>
      </c>
      <c r="S57" s="34">
        <v>3</v>
      </c>
      <c r="T57" s="34">
        <v>3</v>
      </c>
      <c r="U57" s="260"/>
    </row>
    <row r="58" spans="1:21" s="266" customFormat="1" ht="18" customHeight="1">
      <c r="A58" s="25" t="s">
        <v>391</v>
      </c>
      <c r="B58" s="25" t="s">
        <v>323</v>
      </c>
      <c r="C58" s="25" t="s">
        <v>163</v>
      </c>
      <c r="D58" s="25" t="s">
        <v>386</v>
      </c>
      <c r="E58" s="25" t="s">
        <v>214</v>
      </c>
      <c r="F58" s="26">
        <f>8.5+7*1.5+5.5*1.5+7+5.5</f>
        <v>39.75</v>
      </c>
      <c r="G58" s="26">
        <f>7*1.5+7+5.5*1.5+5.5+5.5</f>
        <v>36.75</v>
      </c>
      <c r="H58" s="26">
        <f>5.5*1.5+5.5*1.5+7+5.5+5.5</f>
        <v>34.5</v>
      </c>
      <c r="I58" s="233">
        <f>計分版!D121</f>
        <v>3.9500000000000006E-9</v>
      </c>
      <c r="J58" s="27">
        <f t="shared" si="3"/>
        <v>-36.749999996050001</v>
      </c>
      <c r="K58" s="28">
        <f t="shared" si="1"/>
        <v>-9303797467.3544292</v>
      </c>
      <c r="L58" s="45">
        <v>54</v>
      </c>
      <c r="M58" s="29">
        <f>入學要求!S105</f>
        <v>0</v>
      </c>
      <c r="N58" s="30" t="s">
        <v>416</v>
      </c>
      <c r="O58" s="33">
        <v>3</v>
      </c>
      <c r="P58" s="33">
        <v>3</v>
      </c>
      <c r="Q58" s="33">
        <v>2</v>
      </c>
      <c r="R58" s="33">
        <v>2</v>
      </c>
      <c r="S58" s="33">
        <v>3</v>
      </c>
      <c r="T58" s="33">
        <v>3</v>
      </c>
      <c r="U58" s="30"/>
    </row>
    <row r="59" spans="1:21" ht="18" customHeight="1">
      <c r="A59" s="19" t="s">
        <v>164</v>
      </c>
      <c r="B59" s="19" t="s">
        <v>323</v>
      </c>
      <c r="C59" s="19" t="s">
        <v>165</v>
      </c>
      <c r="D59" s="19" t="s">
        <v>387</v>
      </c>
      <c r="E59" s="19" t="s">
        <v>214</v>
      </c>
      <c r="F59" s="21">
        <f>8.5+7+7+4+4</f>
        <v>30.5</v>
      </c>
      <c r="G59" s="21">
        <f>7+5.5+5.5+5.5+5.5</f>
        <v>29</v>
      </c>
      <c r="H59" s="21">
        <f>7+7+5.5+4+4</f>
        <v>27.5</v>
      </c>
      <c r="I59" s="230">
        <f>計分版!D122</f>
        <v>3.9500000000000006E-9</v>
      </c>
      <c r="J59" s="22">
        <f t="shared" si="3"/>
        <v>-28.999999996050001</v>
      </c>
      <c r="K59" s="23">
        <f t="shared" si="1"/>
        <v>-7341772150.8987331</v>
      </c>
      <c r="L59" s="262">
        <v>46</v>
      </c>
      <c r="M59" s="24">
        <f>入學要求!S106</f>
        <v>0</v>
      </c>
      <c r="N59" s="260" t="s">
        <v>417</v>
      </c>
      <c r="O59" s="34">
        <v>3</v>
      </c>
      <c r="P59" s="34">
        <v>3</v>
      </c>
      <c r="Q59" s="34">
        <v>2</v>
      </c>
      <c r="R59" s="34">
        <v>3</v>
      </c>
      <c r="S59" s="34">
        <v>3</v>
      </c>
      <c r="T59" s="34">
        <v>3</v>
      </c>
      <c r="U59" s="260"/>
    </row>
    <row r="60" spans="1:21" s="266" customFormat="1" ht="18" customHeight="1">
      <c r="A60" s="25" t="s">
        <v>166</v>
      </c>
      <c r="B60" s="25" t="s">
        <v>323</v>
      </c>
      <c r="C60" s="25" t="s">
        <v>167</v>
      </c>
      <c r="D60" s="25" t="s">
        <v>388</v>
      </c>
      <c r="E60" s="25" t="s">
        <v>214</v>
      </c>
      <c r="F60" s="26">
        <f>5*1.5+7+4*1.5+5.5+5.5</f>
        <v>31.5</v>
      </c>
      <c r="G60" s="26">
        <f>7*1.5+4*1.5+5.5+5.5+4</f>
        <v>31.5</v>
      </c>
      <c r="H60" s="26">
        <f>5.5*1.5+4*1.5+5.5+7+4</f>
        <v>30.75</v>
      </c>
      <c r="I60" s="233">
        <f>計分版!D123</f>
        <v>3.9500000000000006E-9</v>
      </c>
      <c r="J60" s="27">
        <f t="shared" si="3"/>
        <v>-31.499999996050001</v>
      </c>
      <c r="K60" s="28">
        <f t="shared" si="1"/>
        <v>-7974683543.3037968</v>
      </c>
      <c r="L60" s="45">
        <v>39</v>
      </c>
      <c r="M60" s="29">
        <f>入學要求!S107</f>
        <v>0</v>
      </c>
      <c r="N60" s="30" t="s">
        <v>417</v>
      </c>
      <c r="O60" s="33">
        <v>3</v>
      </c>
      <c r="P60" s="33">
        <v>3</v>
      </c>
      <c r="Q60" s="33">
        <v>2</v>
      </c>
      <c r="R60" s="33">
        <v>2</v>
      </c>
      <c r="S60" s="33">
        <v>3</v>
      </c>
      <c r="T60" s="33">
        <v>3</v>
      </c>
      <c r="U60" s="30"/>
    </row>
    <row r="61" spans="1:21" ht="18" customHeight="1">
      <c r="A61" s="19" t="s">
        <v>204</v>
      </c>
      <c r="B61" s="19" t="s">
        <v>323</v>
      </c>
      <c r="C61" s="19" t="s">
        <v>205</v>
      </c>
      <c r="D61" s="19" t="s">
        <v>389</v>
      </c>
      <c r="E61" s="19" t="s">
        <v>214</v>
      </c>
      <c r="F61" s="21">
        <f>7*1.5+7+5.5+5.5+5.5</f>
        <v>34</v>
      </c>
      <c r="G61" s="21">
        <f>5*1.5+8.5+5.5+5.5+5.5</f>
        <v>32.5</v>
      </c>
      <c r="H61" s="21">
        <f>7+7+4*1.5+4+4</f>
        <v>28</v>
      </c>
      <c r="I61" s="230">
        <f>計分版!D124</f>
        <v>3.9500000000000006E-9</v>
      </c>
      <c r="J61" s="22">
        <f t="shared" si="3"/>
        <v>-32.499999996050001</v>
      </c>
      <c r="K61" s="23">
        <f t="shared" si="1"/>
        <v>-8227848100.2658215</v>
      </c>
      <c r="L61" s="262">
        <v>20</v>
      </c>
      <c r="M61" s="24">
        <f>入學要求!S108</f>
        <v>0</v>
      </c>
      <c r="N61" s="260" t="s">
        <v>417</v>
      </c>
      <c r="O61" s="34">
        <v>3</v>
      </c>
      <c r="P61" s="34">
        <v>3</v>
      </c>
      <c r="Q61" s="34">
        <v>2</v>
      </c>
      <c r="R61" s="34">
        <v>2</v>
      </c>
      <c r="S61" s="34">
        <v>3</v>
      </c>
      <c r="T61" s="34">
        <v>3</v>
      </c>
      <c r="U61" s="260"/>
    </row>
    <row r="62" spans="1:21" s="266" customFormat="1" ht="18" customHeight="1">
      <c r="A62" s="25" t="s">
        <v>213</v>
      </c>
      <c r="B62" s="25" t="s">
        <v>323</v>
      </c>
      <c r="C62" s="25" t="s">
        <v>207</v>
      </c>
      <c r="D62" s="25" t="s">
        <v>390</v>
      </c>
      <c r="E62" s="25" t="s">
        <v>214</v>
      </c>
      <c r="F62" s="26">
        <f>7+7+5.5+5.5+4</f>
        <v>29</v>
      </c>
      <c r="G62" s="26">
        <f>7+5.5+5.5+4+4</f>
        <v>26</v>
      </c>
      <c r="H62" s="26">
        <f>7+5.5+5.5+4+4</f>
        <v>26</v>
      </c>
      <c r="I62" s="233">
        <f>計分版!D125</f>
        <v>3.9500000000000006E-9</v>
      </c>
      <c r="J62" s="27">
        <f t="shared" si="3"/>
        <v>-25.999999996050001</v>
      </c>
      <c r="K62" s="28">
        <f t="shared" si="1"/>
        <v>-6582278480.0126572</v>
      </c>
      <c r="L62" s="45">
        <v>20</v>
      </c>
      <c r="M62" s="29">
        <f>入學要求!S109</f>
        <v>0</v>
      </c>
      <c r="N62" s="30" t="s">
        <v>417</v>
      </c>
      <c r="O62" s="33">
        <v>3</v>
      </c>
      <c r="P62" s="33">
        <v>3</v>
      </c>
      <c r="Q62" s="33">
        <v>3</v>
      </c>
      <c r="R62" s="33">
        <v>2</v>
      </c>
      <c r="S62" s="33">
        <v>3</v>
      </c>
      <c r="T62" s="33">
        <v>3</v>
      </c>
      <c r="U62" s="30"/>
    </row>
    <row r="63" spans="1:21" ht="18" customHeight="1">
      <c r="A63" s="19" t="s">
        <v>168</v>
      </c>
      <c r="B63" s="19" t="s">
        <v>324</v>
      </c>
      <c r="C63" s="19" t="s">
        <v>169</v>
      </c>
      <c r="D63" s="19" t="s">
        <v>329</v>
      </c>
      <c r="E63" s="19" t="s">
        <v>215</v>
      </c>
      <c r="F63" s="21">
        <f>7*1.5+7*2+7+4*2+7+7</f>
        <v>53.5</v>
      </c>
      <c r="G63" s="21">
        <f>7*1.5+5.5*2+7+7*2+5.5+4</f>
        <v>52</v>
      </c>
      <c r="H63" s="21">
        <f>4*1.5+8.5*2+4+5.5*2+7+5.5</f>
        <v>50.5</v>
      </c>
      <c r="I63" s="230">
        <f>計分版!D126</f>
        <v>3.4999999999999999E-9</v>
      </c>
      <c r="J63" s="22">
        <f t="shared" si="3"/>
        <v>-51.999999996500001</v>
      </c>
      <c r="K63" s="23">
        <f t="shared" si="1"/>
        <v>-14857142856.142859</v>
      </c>
      <c r="L63" s="262">
        <v>76</v>
      </c>
      <c r="M63" s="24">
        <f>入學要求!S110</f>
        <v>0</v>
      </c>
      <c r="N63" s="260" t="s">
        <v>417</v>
      </c>
      <c r="O63" s="34">
        <v>4</v>
      </c>
      <c r="P63" s="34">
        <v>5</v>
      </c>
      <c r="Q63" s="34">
        <v>3</v>
      </c>
      <c r="R63" s="34">
        <v>3</v>
      </c>
      <c r="S63" s="34">
        <v>3</v>
      </c>
      <c r="T63" s="34">
        <v>3</v>
      </c>
      <c r="U63" s="260" t="s">
        <v>402</v>
      </c>
    </row>
    <row r="64" spans="1:21"/>
    <row r="65" spans="1:21" ht="16.5">
      <c r="A65" s="18" t="s">
        <v>1183</v>
      </c>
      <c r="B65" s="19"/>
      <c r="C65" s="19"/>
      <c r="D65" s="19"/>
      <c r="F65" s="260"/>
      <c r="G65" s="260"/>
      <c r="H65" s="260"/>
      <c r="I65" s="260"/>
      <c r="J65" s="260"/>
      <c r="K65" s="260"/>
      <c r="L65" s="260"/>
      <c r="M65" s="19"/>
      <c r="N65" s="260"/>
      <c r="O65" s="35"/>
      <c r="P65" s="35"/>
      <c r="Q65" s="35"/>
      <c r="R65" s="35"/>
      <c r="S65" s="35"/>
      <c r="T65" s="35"/>
      <c r="U65" s="260"/>
    </row>
    <row r="66" spans="1:21">
      <c r="A66" s="19" t="s">
        <v>1184</v>
      </c>
      <c r="B66" s="19"/>
      <c r="C66" s="19"/>
      <c r="D66" s="19"/>
      <c r="F66" s="260"/>
      <c r="G66" s="260"/>
      <c r="H66" s="260"/>
      <c r="I66" s="260"/>
      <c r="J66" s="260"/>
      <c r="K66" s="260"/>
      <c r="L66" s="260"/>
      <c r="M66" s="19"/>
      <c r="N66" s="260"/>
      <c r="O66" s="35"/>
      <c r="P66" s="35"/>
      <c r="Q66" s="35"/>
      <c r="R66" s="35"/>
      <c r="S66" s="35"/>
      <c r="T66" s="35"/>
      <c r="U66" s="260"/>
    </row>
    <row r="67" spans="1:21">
      <c r="A67" s="269"/>
      <c r="B67" s="19"/>
      <c r="C67" s="19"/>
      <c r="D67" s="19"/>
      <c r="F67" s="260"/>
      <c r="G67" s="260"/>
      <c r="H67" s="260"/>
      <c r="I67" s="260"/>
      <c r="J67" s="260"/>
      <c r="K67" s="260"/>
      <c r="L67" s="260"/>
      <c r="M67" s="19"/>
      <c r="N67" s="260"/>
      <c r="O67" s="35"/>
      <c r="P67" s="35"/>
      <c r="Q67" s="35"/>
      <c r="R67" s="35"/>
      <c r="S67" s="35"/>
      <c r="T67" s="35"/>
      <c r="U67" s="260"/>
    </row>
    <row r="68" spans="1:21">
      <c r="A68" s="68" t="s">
        <v>1352</v>
      </c>
      <c r="B68" s="19"/>
      <c r="C68" s="19"/>
      <c r="D68" s="19"/>
      <c r="F68" s="260"/>
      <c r="G68" s="260"/>
      <c r="H68" s="260"/>
      <c r="I68" s="260"/>
      <c r="J68" s="260"/>
      <c r="K68" s="260"/>
      <c r="L68" s="260"/>
      <c r="M68" s="19"/>
      <c r="N68" s="260"/>
      <c r="O68" s="35"/>
      <c r="P68" s="35"/>
      <c r="Q68" s="35"/>
      <c r="R68" s="35"/>
      <c r="S68" s="35"/>
      <c r="T68" s="35"/>
      <c r="U68" s="260"/>
    </row>
    <row r="69" spans="1:21">
      <c r="A69" s="269" t="s">
        <v>1354</v>
      </c>
      <c r="B69" s="19"/>
      <c r="C69" s="19"/>
      <c r="D69" s="19"/>
      <c r="F69" s="260"/>
      <c r="G69" s="260"/>
      <c r="H69" s="260"/>
      <c r="I69" s="260"/>
      <c r="J69" s="260"/>
      <c r="K69" s="260"/>
      <c r="L69" s="260"/>
      <c r="M69" s="19"/>
      <c r="N69" s="260"/>
      <c r="O69" s="35"/>
      <c r="P69" s="35"/>
      <c r="Q69" s="35"/>
      <c r="R69" s="35"/>
      <c r="S69" s="35"/>
      <c r="T69" s="35"/>
      <c r="U69" s="260"/>
    </row>
    <row r="70" spans="1:21">
      <c r="A70" s="269" t="s">
        <v>1353</v>
      </c>
      <c r="B70" s="19"/>
      <c r="C70" s="19"/>
      <c r="D70" s="19"/>
      <c r="F70" s="260"/>
      <c r="G70" s="260"/>
      <c r="H70" s="260"/>
      <c r="I70" s="260"/>
      <c r="J70" s="260"/>
      <c r="K70" s="260"/>
      <c r="L70" s="260"/>
      <c r="M70" s="19"/>
      <c r="N70" s="260"/>
      <c r="O70" s="35"/>
      <c r="P70" s="35"/>
      <c r="Q70" s="35"/>
      <c r="R70" s="35"/>
      <c r="S70" s="35"/>
      <c r="T70" s="35"/>
      <c r="U70" s="260"/>
    </row>
    <row r="71" spans="1:21">
      <c r="A71" s="270" t="s">
        <v>1355</v>
      </c>
      <c r="B71" s="19"/>
      <c r="C71" s="19"/>
      <c r="D71" s="19"/>
      <c r="F71" s="260"/>
      <c r="G71" s="260"/>
      <c r="H71" s="260"/>
      <c r="I71" s="260"/>
      <c r="J71" s="260"/>
      <c r="K71" s="260"/>
      <c r="L71" s="260"/>
      <c r="M71" s="19"/>
      <c r="N71" s="260"/>
      <c r="O71" s="35"/>
      <c r="P71" s="35"/>
      <c r="Q71" s="35"/>
      <c r="R71" s="35"/>
      <c r="S71" s="35"/>
      <c r="T71" s="35"/>
      <c r="U71" s="260"/>
    </row>
    <row r="72" spans="1:21">
      <c r="A72" s="268"/>
      <c r="B72" s="19"/>
      <c r="C72" s="19"/>
      <c r="D72" s="19"/>
      <c r="F72" s="260"/>
      <c r="G72" s="260"/>
      <c r="H72" s="260"/>
      <c r="I72" s="260"/>
      <c r="J72" s="260"/>
      <c r="K72" s="260"/>
      <c r="L72" s="260"/>
      <c r="M72" s="19"/>
      <c r="N72" s="260"/>
      <c r="O72" s="35"/>
      <c r="P72" s="35"/>
      <c r="Q72" s="35"/>
      <c r="R72" s="35"/>
      <c r="S72" s="35"/>
      <c r="T72" s="35"/>
      <c r="U72" s="260"/>
    </row>
    <row r="73" spans="1:21">
      <c r="A73" s="19"/>
    </row>
    <row r="74" spans="1:21" hidden="1"/>
    <row r="75" spans="1:21"/>
  </sheetData>
  <mergeCells count="2">
    <mergeCell ref="J1:K1"/>
    <mergeCell ref="L13:L14"/>
  </mergeCells>
  <phoneticPr fontId="2" type="noConversion"/>
  <conditionalFormatting sqref="J2:J63">
    <cfRule type="cellIs" dxfId="281" priority="19" operator="equal">
      <formula>"/"</formula>
    </cfRule>
    <cfRule type="cellIs" dxfId="280" priority="20" operator="lessThan">
      <formula>0</formula>
    </cfRule>
    <cfRule type="cellIs" dxfId="279" priority="21" operator="greaterThan">
      <formula>0</formula>
    </cfRule>
  </conditionalFormatting>
  <conditionalFormatting sqref="K2:K63">
    <cfRule type="cellIs" dxfId="278" priority="16" operator="equal">
      <formula>"/"</formula>
    </cfRule>
    <cfRule type="cellIs" dxfId="277" priority="17" operator="lessThan">
      <formula>0</formula>
    </cfRule>
    <cfRule type="cellIs" dxfId="276" priority="18" operator="greaterThan">
      <formula>0</formula>
    </cfRule>
  </conditionalFormatting>
  <conditionalFormatting sqref="F2:F63">
    <cfRule type="expression" dxfId="275" priority="15">
      <formula>$J$1="差距(UQ)"</formula>
    </cfRule>
  </conditionalFormatting>
  <conditionalFormatting sqref="G2:G63">
    <cfRule type="expression" dxfId="274" priority="14">
      <formula>$J$1="差距(Median)"</formula>
    </cfRule>
  </conditionalFormatting>
  <conditionalFormatting sqref="H2:H63">
    <cfRule type="expression" dxfId="273" priority="13">
      <formula>$J$1="差距(LQ)"</formula>
    </cfRule>
  </conditionalFormatting>
  <conditionalFormatting sqref="M2:M63">
    <cfRule type="cellIs" dxfId="272" priority="5" operator="equal">
      <formula>2</formula>
    </cfRule>
    <cfRule type="cellIs" dxfId="271" priority="6" operator="equal">
      <formula>1</formula>
    </cfRule>
    <cfRule type="cellIs" dxfId="270" priority="7" operator="equal">
      <formula>0</formula>
    </cfRule>
  </conditionalFormatting>
  <conditionalFormatting sqref="L2:L13 L15:L63">
    <cfRule type="cellIs" dxfId="269" priority="3" operator="greaterThan">
      <formula>100</formula>
    </cfRule>
    <cfRule type="cellIs" dxfId="268" priority="4" operator="lessThan">
      <formula>30</formula>
    </cfRule>
  </conditionalFormatting>
  <hyperlinks>
    <hyperlink ref="A70" r:id="rId1" xr:uid="{FF5EA564-D214-44F5-B53F-7672587B04CD}"/>
    <hyperlink ref="A69" r:id="rId2" xr:uid="{079FF43D-94B9-4896-B39E-559B7D97ECB6}"/>
    <hyperlink ref="A71" r:id="rId3" xr:uid="{E9E812BF-DCF8-40C4-B23C-7455F026869E}"/>
  </hyperlinks>
  <pageMargins left="0.7" right="0.7" top="0.75" bottom="0.75" header="0.3" footer="0.3"/>
  <legacyDrawing r:id="rId4"/>
  <extLst>
    <ext xmlns:x14="http://schemas.microsoft.com/office/spreadsheetml/2009/9/main" uri="{78C0D931-6437-407d-A8EE-F0AAD7539E65}">
      <x14:conditionalFormattings>
        <x14:conditionalFormatting xmlns:xm="http://schemas.microsoft.com/office/excel/2006/main">
          <x14:cfRule type="cellIs" priority="24" operator="lessThan" id="{CC9C31FC-238C-497C-9A9C-491AC39AD367}">
            <xm:f>計分版!$D$4</xm:f>
            <x14:dxf>
              <font>
                <color rgb="FF006100"/>
              </font>
              <fill>
                <patternFill>
                  <bgColor rgb="FFC6EFCE"/>
                </patternFill>
              </fill>
            </x14:dxf>
          </x14:cfRule>
          <xm:sqref>P2:P63</xm:sqref>
        </x14:conditionalFormatting>
        <x14:conditionalFormatting xmlns:xm="http://schemas.microsoft.com/office/excel/2006/main">
          <x14:cfRule type="cellIs" priority="8" operator="lessThan" id="{8F26CFE6-A823-4F4B-A9AC-74AE07CAE070}">
            <xm:f>計分版!$V$115</xm:f>
            <x14:dxf>
              <font>
                <color rgb="FF006100"/>
              </font>
              <fill>
                <patternFill>
                  <bgColor rgb="FFC6EFCE"/>
                </patternFill>
              </fill>
            </x14:dxf>
          </x14:cfRule>
          <x14:cfRule type="cellIs" priority="9" operator="greaterThan" id="{DD01FB03-E502-4C76-B9DD-B283DCAB8CBD}">
            <xm:f>計分版!$V$115</xm:f>
            <x14:dxf>
              <font>
                <color rgb="FF9C0006"/>
              </font>
              <fill>
                <patternFill>
                  <bgColor rgb="FFFFC7CE"/>
                </patternFill>
              </fill>
            </x14:dxf>
          </x14:cfRule>
          <xm:sqref>T46</xm:sqref>
        </x14:conditionalFormatting>
        <x14:conditionalFormatting xmlns:xm="http://schemas.microsoft.com/office/excel/2006/main">
          <x14:cfRule type="expression" priority="11" id="{6B8983E5-73A6-4CBE-BE7D-CA41EE738E54}">
            <xm:f>計分版!$O$101=0</xm:f>
            <x14:dxf>
              <font>
                <color rgb="FF9C0006"/>
              </font>
              <fill>
                <patternFill>
                  <bgColor rgb="FFFFC7CE"/>
                </patternFill>
              </fill>
            </x14:dxf>
          </x14:cfRule>
          <xm:sqref>S38</xm:sqref>
        </x14:conditionalFormatting>
        <x14:conditionalFormatting xmlns:xm="http://schemas.microsoft.com/office/excel/2006/main">
          <x14:cfRule type="expression" priority="10" id="{79987EDF-1CA6-41B3-BE2A-05186D0550CF}">
            <xm:f>計分版!$O$101=0</xm:f>
            <x14:dxf>
              <font>
                <color rgb="FF9C0006"/>
              </font>
              <fill>
                <patternFill>
                  <bgColor rgb="FFFFC7CE"/>
                </patternFill>
              </fill>
            </x14:dxf>
          </x14:cfRule>
          <xm:sqref>S39</xm:sqref>
        </x14:conditionalFormatting>
        <x14:conditionalFormatting xmlns:xm="http://schemas.microsoft.com/office/excel/2006/main">
          <x14:cfRule type="cellIs" priority="22" operator="greaterThan" id="{68204D93-70F5-42DA-9BEB-0A867EAE2306}">
            <xm:f>計分版!$C$13</xm:f>
            <x14:dxf>
              <font>
                <color rgb="FF9C0006"/>
              </font>
              <fill>
                <patternFill>
                  <bgColor rgb="FFFFC7CE"/>
                </patternFill>
              </fill>
            </x14:dxf>
          </x14:cfRule>
          <x14:cfRule type="cellIs" priority="23" operator="lessThan" id="{647A818B-B40A-4071-8B2E-8C9765119AE3}">
            <xm:f>計分版!$C$13</xm:f>
            <x14:dxf>
              <font>
                <color rgb="FF006100"/>
              </font>
              <fill>
                <patternFill>
                  <bgColor rgb="FFC6EFCE"/>
                </patternFill>
              </fill>
            </x14:dxf>
          </x14:cfRule>
          <xm:sqref>O2:O63</xm:sqref>
        </x14:conditionalFormatting>
        <x14:conditionalFormatting xmlns:xm="http://schemas.microsoft.com/office/excel/2006/main">
          <x14:cfRule type="cellIs" priority="29" operator="greaterThan" id="{D4D55D58-C9E9-4775-9E14-54F74F1D823C}">
            <xm:f>計分版!$D$13</xm:f>
            <x14:dxf>
              <font>
                <color rgb="FF9C0006"/>
              </font>
              <fill>
                <patternFill>
                  <bgColor rgb="FFFFC7CE"/>
                </patternFill>
              </fill>
            </x14:dxf>
          </x14:cfRule>
          <xm:sqref>P2:P63</xm:sqref>
        </x14:conditionalFormatting>
        <x14:conditionalFormatting xmlns:xm="http://schemas.microsoft.com/office/excel/2006/main">
          <x14:cfRule type="cellIs" priority="31" operator="greaterThan" id="{76E12922-663A-46E9-9242-EE1759558371}">
            <xm:f>計分版!$E$13</xm:f>
            <x14:dxf>
              <font>
                <color rgb="FF9C0006"/>
              </font>
              <fill>
                <patternFill>
                  <bgColor rgb="FFFFC7CE"/>
                </patternFill>
              </fill>
            </x14:dxf>
          </x14:cfRule>
          <x14:cfRule type="cellIs" priority="32" operator="lessThan" id="{52A05DC9-8618-4CEF-9E01-4E410018E4A5}">
            <xm:f>計分版!$E$13</xm:f>
            <x14:dxf>
              <font>
                <color rgb="FF006100"/>
              </font>
              <fill>
                <patternFill>
                  <bgColor rgb="FFC6EFCE"/>
                </patternFill>
              </fill>
            </x14:dxf>
          </x14:cfRule>
          <xm:sqref>Q2:Q63</xm:sqref>
        </x14:conditionalFormatting>
        <x14:conditionalFormatting xmlns:xm="http://schemas.microsoft.com/office/excel/2006/main">
          <x14:cfRule type="cellIs" priority="27" operator="lessThan" id="{DC1568EE-2585-4587-8FBE-0C8E5E4C9ED8}">
            <xm:f>計分版!$F$13</xm:f>
            <x14:dxf>
              <font>
                <color rgb="FF006100"/>
              </font>
              <fill>
                <patternFill>
                  <bgColor rgb="FFC6EFCE"/>
                </patternFill>
              </fill>
            </x14:dxf>
          </x14:cfRule>
          <x14:cfRule type="cellIs" priority="28" operator="greaterThan" id="{7916EFE3-9255-46E3-BBB2-91CD55BE70B2}">
            <xm:f>計分版!$F$13</xm:f>
            <x14:dxf>
              <font>
                <color rgb="FF9C0006"/>
              </font>
              <fill>
                <patternFill>
                  <bgColor rgb="FFFFC7CE"/>
                </patternFill>
              </fill>
            </x14:dxf>
          </x14:cfRule>
          <xm:sqref>R2:R63</xm:sqref>
        </x14:conditionalFormatting>
        <x14:conditionalFormatting xmlns:xm="http://schemas.microsoft.com/office/excel/2006/main">
          <x14:cfRule type="expression" priority="12" id="{C0C644ED-E2A4-42ED-B214-6A7DA6C407CD}">
            <xm:f>計分版!$D$13=3.0000000002</xm:f>
            <x14:dxf>
              <font>
                <color theme="5" tint="-0.499984740745262"/>
              </font>
              <fill>
                <patternFill>
                  <bgColor theme="7" tint="0.59996337778862885"/>
                </patternFill>
              </fill>
            </x14:dxf>
          </x14:cfRule>
          <xm:sqref>P16</xm:sqref>
        </x14:conditionalFormatting>
        <x14:conditionalFormatting xmlns:xm="http://schemas.microsoft.com/office/excel/2006/main">
          <x14:cfRule type="expression" priority="25" id="{82FEE29C-63DC-4F85-ABED-2345E5A31963}">
            <xm:f>計分版!$E$13=3.0000000003</xm:f>
            <x14:dxf>
              <font>
                <color theme="5" tint="-0.499984740745262"/>
              </font>
              <fill>
                <patternFill>
                  <bgColor theme="7" tint="0.59996337778862885"/>
                </patternFill>
              </fill>
            </x14:dxf>
          </x14:cfRule>
          <x14:cfRule type="expression" priority="26" id="{C5CFE276-6DB4-416A-A22C-D605CCFF681A}">
            <xm:f>計分版!$E$13=4.0000000003</xm:f>
            <x14:dxf>
              <font>
                <color theme="5" tint="-0.499984740745262"/>
              </font>
              <fill>
                <patternFill>
                  <bgColor theme="7" tint="0.59996337778862885"/>
                </patternFill>
              </fill>
            </x14:dxf>
          </x14:cfRule>
          <x14:cfRule type="expression" priority="30" stopIfTrue="1" id="{4052A4E3-2AD9-441C-98CA-172DD7D9EE9A}">
            <xm:f>AND(計分版!$G$13&gt;5,計分版!$E$13&lt;5)</xm:f>
            <x14:dxf>
              <font>
                <color rgb="FF006100"/>
              </font>
              <fill>
                <patternFill>
                  <bgColor rgb="FFC6EFCE"/>
                </patternFill>
              </fill>
            </x14:dxf>
          </x14:cfRule>
          <xm:sqref>Q20</xm:sqref>
        </x14:conditionalFormatting>
        <x14:conditionalFormatting xmlns:xm="http://schemas.microsoft.com/office/excel/2006/main">
          <x14:cfRule type="expression" priority="33" id="{9BAAAF6E-8024-4EE3-8BE7-80DF6A6071FE}">
            <xm:f>計分版!$E$13=4.0000000003</xm:f>
            <x14:dxf>
              <font>
                <color theme="5" tint="-0.499984740745262"/>
              </font>
              <fill>
                <patternFill>
                  <bgColor theme="7" tint="0.59996337778862885"/>
                </patternFill>
              </fill>
            </x14:dxf>
          </x14:cfRule>
          <xm:sqref>Q37</xm:sqref>
        </x14:conditionalFormatting>
        <x14:conditionalFormatting xmlns:xm="http://schemas.microsoft.com/office/excel/2006/main">
          <x14:cfRule type="cellIs" priority="35" operator="lessThan" id="{E8F35E0A-FC53-4DAE-B304-7DCA8725CFF8}">
            <xm:f>LARGE(計分版!$G$13:$L$13,1)</xm:f>
            <x14:dxf>
              <font>
                <color rgb="FF006100"/>
              </font>
              <fill>
                <patternFill>
                  <bgColor rgb="FFC6EFCE"/>
                </patternFill>
              </fill>
            </x14:dxf>
          </x14:cfRule>
          <x14:cfRule type="cellIs" priority="77" operator="greaterThan" id="{9BFF8ABC-D006-4DE9-A640-56721F59E118}">
            <xm:f>LARGE(計分版!$G$13:$L$13,1)</xm:f>
            <x14:dxf>
              <font>
                <color rgb="FF9C0006"/>
              </font>
              <fill>
                <patternFill>
                  <bgColor rgb="FFFFC7CE"/>
                </patternFill>
              </fill>
            </x14:dxf>
          </x14:cfRule>
          <xm:sqref>S2:S29 S33 S31 S37 S40:S43 S50:S63</xm:sqref>
        </x14:conditionalFormatting>
        <x14:conditionalFormatting xmlns:xm="http://schemas.microsoft.com/office/excel/2006/main">
          <x14:cfRule type="expression" priority="36" id="{7EFCDBA9-E0C8-4467-BC93-CF49DE75D23A}">
            <xm:f>AND(計分版!$E$13&lt;5,計分版!$G$13&lt;5)</xm:f>
            <x14:dxf>
              <font>
                <color rgb="FF990033"/>
              </font>
              <fill>
                <patternFill>
                  <bgColor rgb="FFFFCCCC"/>
                </patternFill>
              </fill>
            </x14:dxf>
          </x14:cfRule>
          <xm:sqref>T20</xm:sqref>
        </x14:conditionalFormatting>
        <x14:conditionalFormatting xmlns:xm="http://schemas.microsoft.com/office/excel/2006/main">
          <x14:cfRule type="expression" priority="37" id="{E8021114-5FD2-4227-A03D-36991F0CC04D}">
            <xm:f>計分版!$G$13&gt;3</xm:f>
            <x14:dxf>
              <font>
                <color rgb="FF006100"/>
              </font>
              <fill>
                <patternFill>
                  <bgColor rgb="FFC6EFCE"/>
                </patternFill>
              </fill>
            </x14:dxf>
          </x14:cfRule>
          <x14:cfRule type="expression" priority="38" id="{2CB70F36-A625-419C-835B-33E7269D9538}">
            <xm:f>計分版!$G$13&lt;3</xm:f>
            <x14:dxf>
              <font>
                <color rgb="FF990033"/>
              </font>
              <fill>
                <patternFill>
                  <fgColor auto="1"/>
                  <bgColor rgb="FFFFCCCC"/>
                </patternFill>
              </fill>
            </x14:dxf>
          </x14:cfRule>
          <xm:sqref>T30 T49</xm:sqref>
        </x14:conditionalFormatting>
        <x14:conditionalFormatting xmlns:xm="http://schemas.microsoft.com/office/excel/2006/main">
          <x14:cfRule type="expression" priority="39" id="{89F24088-5DBD-4C53-83CD-3E07207F76C8}">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(生物、化學)",計分版!$K$13&gt;3),計分版!$G$13&gt;3)</xm:f>
            <x14:dxf>
              <font>
                <color rgb="FF006100"/>
              </font>
              <fill>
                <patternFill>
                  <bgColor rgb="FFC6EFCE"/>
                </patternFill>
              </fill>
            </x14:dxf>
          </x14:cfRule>
          <x14:cfRule type="expression" priority="40" id="{BE093B37-765C-4AF5-AB7A-FE55E4DBEC7F}">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(生物、化學)",計分版!$K$13&lt;3),計分版!$G$13&lt;3)</xm:f>
            <x14:dxf>
              <font>
                <color rgb="FF990033"/>
              </font>
              <fill>
                <patternFill>
                  <bgColor rgb="FFFFCCCC"/>
                </patternFill>
              </fill>
            </x14:dxf>
          </x14:cfRule>
          <xm:sqref>S32 S35</xm:sqref>
        </x14:conditionalFormatting>
        <x14:conditionalFormatting xmlns:xm="http://schemas.microsoft.com/office/excel/2006/main">
          <x14:cfRule type="cellIs" priority="41" operator="lessThan" id="{A31FE813-A04A-474E-840C-3039525402F9}">
            <xm:f>LARGE(計分版!$H$13:$L$13,1)</xm:f>
            <x14:dxf>
              <font>
                <color rgb="FF006100"/>
              </font>
              <fill>
                <patternFill>
                  <bgColor rgb="FFC6EFCE"/>
                </patternFill>
              </fill>
            </x14:dxf>
          </x14:cfRule>
          <x14:cfRule type="cellIs" priority="42" operator="greaterThan" id="{3DCCA1E4-107A-4A53-AF6A-3BD4D36D1FC9}">
            <xm:f>LARGE(計分版!$H$13:$L$13,1)</xm:f>
            <x14:dxf>
              <font>
                <color rgb="FF9C0006"/>
              </font>
              <fill>
                <patternFill>
                  <bgColor rgb="FFFFC7CE"/>
                </patternFill>
              </fill>
            </x14:dxf>
          </x14:cfRule>
          <xm:sqref>S30</xm:sqref>
        </x14:conditionalFormatting>
        <x14:conditionalFormatting xmlns:xm="http://schemas.microsoft.com/office/excel/2006/main">
          <x14:cfRule type="expression" priority="43" id="{F89981D4-4BDC-4561-8165-56D82036D859}">
            <xm:f>OR(AND(計分版!$H$1="物理",計分版!$H$13&gt;3),AND(計分版!$H$1="生物",計分版!$H$13&gt;3),AND(計分版!$H$1="化學",計分版!$H$13&gt;3),AND(計分版!$H$1="組合科學 (物理、化學)",計分版!$H$13&gt;3),AND(計分版!$H$1="組合科學 (物理、生物)",計分版!$H$13&gt;3),AND(計分版!$H$1="組合科學 (生物、化學)",計分版!$H$13&gt;3), AND(計分版!$H$1="資訊及通訊科技",計分版!$H$13&gt;3),AND(計分版!$I$1="物理",計分版!$I$13&gt;3),AND(計分版!$I$1="生物",計分版!$I$13&gt;3),AND(計分版!$I$1="化學",計分版!$I$13&gt;3),AND(計分版!$I$1="組合科學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(生物、化學)",計分版!$K$13&gt;3),AND(計分版!$K$1="資訊及通訊科技",計分版!$K$13&gt;3),計分版!$G$13&gt;3)</xm:f>
            <x14:dxf>
              <font>
                <color rgb="FF006100"/>
              </font>
              <fill>
                <patternFill>
                  <bgColor rgb="FFC6EFCE"/>
                </patternFill>
              </fill>
            </x14:dxf>
          </x14:cfRule>
          <x14:cfRule type="expression" priority="44" id="{DA2C37F1-F43B-4866-AA4E-8397A30F4C72}">
            <xm:f>OR(AND(計分版!$H$1="物理",計分版!$H$13&lt;3),AND(計分版!$H$1="生物",計分版!$H$13&lt;3),AND(計分版!$H$1="化學",計分版!$H$13&lt;3),AND(計分版!$H$1="組合科學 (物理、化學)",計分版!$H$13&lt;3),AND(計分版!$H$1="組合科學 (物理、生物)",計分版!$H$13&lt;3),AND(計分版!$H$1="組合科學 (生物、化學)",計分版!$H$13&lt;3), AND(計分版!$H$1="資訊及通訊科技",計分版!$H$13&lt;3),AND(計分版!$I$1="物理",計分版!$I$13&lt;3),AND(計分版!$I$1="生物",計分版!$I$13&lt;3),AND(計分版!$I$1="化學",計分版!$I$13&lt;3),AND(計分版!$I$1="組合科學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(生物、化學)",計分版!$K$13&lt;3),AND(計分版!$K$1="資訊及通訊科技",計分版!$K$13&lt;3),計分版!$G$13&lt;3)</xm:f>
            <x14:dxf>
              <font>
                <color rgb="FF990033"/>
              </font>
              <fill>
                <patternFill>
                  <bgColor rgb="FFFFCCCC"/>
                </patternFill>
              </fill>
            </x14:dxf>
          </x14:cfRule>
          <xm:sqref>S34</xm:sqref>
        </x14:conditionalFormatting>
        <x14:conditionalFormatting xmlns:xm="http://schemas.microsoft.com/office/excel/2006/main">
          <x14:cfRule type="expression" priority="45" id="{06338D34-CDC2-4DDF-AC26-7336DFEEA8C1}">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設計與應用科技",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AND(計分版!$I$1="設計與應用科技",計分版!$I$13&gt;3),AND(計分版!$J$1="物理",計分版!$J$13&gt;3),AND(計分版!$J$1="生物",計分版!$J$13&gt;3),AND(計分版!$J$1="化學",計分版!$J$13&gt;3),AND(計分版!$J$1="組合科學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AND(計分版!$J$1="設計與應用科技",計分版!$J$13&gt;3),AND(計分版!$K$1="物理",計分版!$K$13&gt;3),AND(計分版!$K$1="生物",計分版!$K$13&gt;3),AND(計分版!$K$1="化學",計分版!$K$13&gt;3),AND(計分版!$K$1="組合科學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(生物、化學)",計分版!$K$13&gt;3),AND(計分版!$K$1="資訊及通訊科技",計分版!$K$13&gt;3),AND(計分版!$K$1="設計與應用科技",計分版!$K$13&gt;3),計分版!$G$13&gt;3)</xm:f>
            <x14:dxf>
              <font>
                <color rgb="FF006100"/>
              </font>
              <fill>
                <patternFill>
                  <bgColor rgb="FFC6EFCE"/>
                </patternFill>
              </fill>
            </x14:dxf>
          </x14:cfRule>
          <x14:cfRule type="expression" priority="46" id="{1BB47E24-A4E2-4C2F-974B-07AC5EBDC35C}">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H$1="資訊及通訊科技",計分版!$H$13&lt;3),AND(計分版!$H$1="設計與應用科技",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 AND(計分版!$I$1="設計與應用科技",計分版!$I$13&lt;3),AND(計分版!$J$1="物理",計分版!$J$13&lt;3),AND(計分版!$J$1="生物",計分版!$J$13&lt;3),AND(計分版!$J$1="化學",計分版!$J$13&lt;3),AND(計分版!$J$1="組合科學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 AND(計分版!$J$1="設計與應用科技",計分版!$J$13&lt;3),AND(計分版!$K$1="物理",計分版!$K$13&lt;3),AND(計分版!$K$1="生物",計分版!$K$13&lt;3),AND(計分版!$K$1="化學",計分版!$K$13&lt;3),AND(計分版!$K$1="組合科學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(生物、化學)",計分版!$K$13&lt;3),AND(計分版!$K$1="資訊及通訊科技",計分版!$K$13&lt;3),AND(計分版!$K$1="設計與應用科技",計分版!$K$13&lt;3),計分版!$G$13&lt;3)</xm:f>
            <x14:dxf>
              <font>
                <color rgb="FF9C0006"/>
              </font>
              <fill>
                <patternFill>
                  <bgColor rgb="FFFFC7CE"/>
                </patternFill>
              </fill>
            </x14:dxf>
          </x14:cfRule>
          <xm:sqref>S36</xm:sqref>
        </x14:conditionalFormatting>
        <x14:conditionalFormatting xmlns:xm="http://schemas.microsoft.com/office/excel/2006/main">
          <x14:cfRule type="expression" priority="47" id="{EEBAEACE-4B3B-4299-9B2E-DF7535192BA1}">
            <xm:f>OR(AND(計分版!$H$1="生物",計分版!$H$13&gt;3),AND(計分版!$H$1="化學",計分版!$H$13&gt;3),AND(計分版!$I$1="生物",計分版!$I$13&gt;3),AND(計分版!$I$1="化學",計分版!$I$13&gt;3),AND(計分版!$J$1="生物",計分版!$J$13&gt;3),AND(計分版!$J$1="化學",計分版!$J$13&gt;3),AND(計分版!$K$1="生物",計分版!$K$13&gt;3),AND(計分版!$K$1="化學",計分版!$K$13&gt;3))</xm:f>
            <x14:dxf>
              <font>
                <color rgb="FF006100"/>
              </font>
              <fill>
                <patternFill>
                  <bgColor rgb="FFC6EFCE"/>
                </patternFill>
              </fill>
            </x14:dxf>
          </x14:cfRule>
          <x14:cfRule type="expression" priority="48" id="{6665FFD9-DDF8-4CA0-BE3D-3EB3CBEC6158}">
            <xm:f>OR(AND(計分版!$H$1="生物",計分版!$H$13&lt;3),AND(計分版!$H$1="化學",計分版!$H$13&lt;3),AND(計分版!$I$1="生物",計分版!$I$13&lt;3),AND(計分版!$I$1="化學",計分版!$I$13&lt;3),AND(計分版!$J$1="生物",計分版!$J$13&lt;3),AND(計分版!$J$1="化學",計分版!$J$13&lt;3),AND(計分版!$K$1="生物",計分版!$K$13&lt;3),AND(計分版!$K$1="化學",計分版!$K$13&lt;3))</xm:f>
            <x14:dxf>
              <font>
                <color rgb="FF9C0006"/>
              </font>
              <fill>
                <patternFill>
                  <bgColor rgb="FFFFC7CE"/>
                </patternFill>
              </fill>
            </x14:dxf>
          </x14:cfRule>
          <xm:sqref>S38:S39</xm:sqref>
        </x14:conditionalFormatting>
        <x14:conditionalFormatting xmlns:xm="http://schemas.microsoft.com/office/excel/2006/main">
          <x14:cfRule type="cellIs" priority="49" operator="lessThan" id="{BA09FF3C-7168-4E7F-9CDB-DB6D09574C0F}">
            <xm:f>LARGE(計分版!$H$13:$L$13,2)</xm:f>
            <x14:dxf>
              <font>
                <color rgb="FF006100"/>
              </font>
              <fill>
                <patternFill>
                  <bgColor rgb="FFC6EFCE"/>
                </patternFill>
              </fill>
            </x14:dxf>
          </x14:cfRule>
          <x14:cfRule type="cellIs" priority="50" operator="greaterThan" id="{A095E8A3-51A1-41E7-9BD9-B8D6DC7AC0E6}">
            <xm:f>LARGE(計分版!$H$13:$L$13,2)</xm:f>
            <x14:dxf>
              <font>
                <color rgb="FF9C0006"/>
              </font>
              <fill>
                <patternFill>
                  <bgColor rgb="FFFFC7CE"/>
                </patternFill>
              </fill>
            </x14:dxf>
          </x14:cfRule>
          <xm:sqref>T38:T39</xm:sqref>
        </x14:conditionalFormatting>
        <x14:conditionalFormatting xmlns:xm="http://schemas.microsoft.com/office/excel/2006/main">
          <x14:cfRule type="cellIs" priority="51" operator="lessThan" id="{15BE0976-A240-4234-A41D-7CDC213D49AB}">
            <xm:f>LARGE(計分版!$H$13:$K$13,2)</xm:f>
            <x14:dxf>
              <font>
                <color rgb="FF006100"/>
              </font>
              <fill>
                <patternFill>
                  <bgColor rgb="FFC6EFCE"/>
                </patternFill>
              </fill>
            </x14:dxf>
          </x14:cfRule>
          <x14:cfRule type="cellIs" priority="52" operator="greaterThan" id="{461E35C2-3C6E-4674-A317-79CAEB7B2618}">
            <xm:f>LARGE(計分版!$H$13:$K$13,2)</xm:f>
            <x14:dxf>
              <font>
                <color rgb="FF9C0006"/>
              </font>
              <fill>
                <patternFill>
                  <bgColor rgb="FFFFC7CE"/>
                </patternFill>
              </fill>
            </x14:dxf>
          </x14:cfRule>
          <xm:sqref>T44</xm:sqref>
        </x14:conditionalFormatting>
        <x14:conditionalFormatting xmlns:xm="http://schemas.microsoft.com/office/excel/2006/main">
          <x14:cfRule type="expression" priority="53" id="{666B62DA-CDA6-4FAC-AC81-87C8D4BC2F08}">
            <xm:f>OR(AND(計分版!$H$1="生物",計分版!$H$13&gt;3),AND(計分版!$H$1="化學",計分版!$H$13&gt;3),AND(計分版!$I$1="生物",計分版!$I$13&gt;3),AND(計分版!$I$1="化學",計分版!$I$13&gt;3),AND(計分版!$J$1="生物",計分版!$J$13&gt;3),AND(計分版!$J$1="化學",計分版!$J$13&gt;3),AND(計分版!$K$1="生物",計分版!$K$13&gt;3),AND(計分版!$K$1="化學",計分版!$K$13&gt;3))</xm:f>
            <x14:dxf>
              <font>
                <color rgb="FF006100"/>
              </font>
              <fill>
                <patternFill>
                  <bgColor rgb="FFC6EFCE"/>
                </patternFill>
              </fill>
            </x14:dxf>
          </x14:cfRule>
          <x14:cfRule type="expression" priority="54" id="{DF96798D-3A19-4108-B0EC-3F60A40891BF}">
            <xm:f>OR(AND(計分版!$H$1="生物",計分版!$H$13&lt;3),AND(計分版!$H$1="化學",計分版!$H$13&lt;3),AND(計分版!$I$1="生物",計分版!$I$13&lt;3),AND(計分版!$I$1="化學",計分版!$I$13&lt;3),AND(計分版!$J$1="生物",計分版!$J$13&lt;3),AND(計分版!$J$1="化學",計分版!$J$13&lt;3),AND(計分版!$K$1="生物",計分版!$K$13&lt;3),AND(計分版!$K$1="化學",計分版!$K$13&lt;3))</xm:f>
            <x14:dxf>
              <font>
                <color rgb="FF9C0006"/>
              </font>
              <fill>
                <patternFill>
                  <bgColor rgb="FFFFC7CE"/>
                </patternFill>
              </fill>
            </x14:dxf>
          </x14:cfRule>
          <x14:cfRule type="expression" priority="55" id="{F4FD5C3E-5EF8-4B88-A9A4-19DFDB966DB7}">
            <xm:f>AND(OR(計分版!$H$1&lt;&gt;"化學",計分版!$I$1&lt;&gt;"化學",計分版!$J$1&lt;&gt;"化學",計分版!$K$1&lt;&gt;"化學"),OR(計分版!$H$1&lt;&gt;"生物",計分版!$I$1&lt;&gt;"生物",計分版!$J$1&lt;&gt;"生物",計分版!$K$1&lt;&gt;"生物"))</xm:f>
            <x14:dxf>
              <font>
                <color rgb="FF9C0006"/>
              </font>
              <fill>
                <patternFill>
                  <bgColor rgb="FFFFC7CE"/>
                </patternFill>
              </fill>
            </x14:dxf>
          </x14:cfRule>
          <xm:sqref>S44</xm:sqref>
        </x14:conditionalFormatting>
        <x14:conditionalFormatting xmlns:xm="http://schemas.microsoft.com/office/excel/2006/main">
          <x14:cfRule type="cellIs" priority="56" operator="lessThan" id="{73CA3722-647D-4056-9D06-7AC5A46D2177}">
            <xm:f>LARGE(計分版!$G$13:$K$13,2)</xm:f>
            <x14:dxf>
              <font>
                <color rgb="FF006100"/>
              </font>
              <fill>
                <patternFill>
                  <bgColor rgb="FFC6EFCE"/>
                </patternFill>
              </fill>
            </x14:dxf>
          </x14:cfRule>
          <x14:cfRule type="cellIs" priority="57" operator="greaterThan" id="{16D0DE20-C9B9-4A34-8127-DFF667D53640}">
            <xm:f>LARGE(計分版!$G$13:$K$13,2)</xm:f>
            <x14:dxf>
              <font>
                <color rgb="FF9C0006"/>
              </font>
              <fill>
                <patternFill>
                  <bgColor rgb="FFFFC7CE"/>
                </patternFill>
              </fill>
            </x14:dxf>
          </x14:cfRule>
          <xm:sqref>T45</xm:sqref>
        </x14:conditionalFormatting>
        <x14:conditionalFormatting xmlns:xm="http://schemas.microsoft.com/office/excel/2006/main">
          <x14:cfRule type="expression" priority="58" id="{58B6E370-3680-4DE4-8A06-4D4BF93DDD93}">
            <xm:f>OR(AND(計分版!$H$1="物理",計分版!$H$13&gt;3),AND(計分版!$H$1="生物",計分版!$H$13&gt;3),AND(計分版!$H$1="化學",計分版!$H$13&gt;3),AND(計分版!$H$1="組合科學 (物理、化學)",計分版!$H$13&gt;3),AND(計分版!$H$1="組合科學 (物理、生物)",計分版!$H$13&gt;3),AND(計分版!$H$1="組合科學 (生物、化學)",計分版!$H$13&gt;3), AND(計分版!$H$1="綜合科學",計分版!$H$13&gt;3),AND(計分版!$I$1="物理",計分版!$I$13&gt;3),AND(計分版!$I$1="生物",計分版!$I$13&gt;3),AND(計分版!$I$1="化學",計分版!$I$13&gt;3),AND(計分版!$I$1="組合科學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(生物、化學)",計分版!$K$13&gt;3),AND(計分版!$K$1="資訊及通訊科技",計分版!$K$13&gt;3),計分版!$G$13&gt;3)</xm:f>
            <x14:dxf>
              <font>
                <color rgb="FF006100"/>
              </font>
              <fill>
                <patternFill>
                  <bgColor rgb="FFC6EFCE"/>
                </patternFill>
              </fill>
            </x14:dxf>
          </x14:cfRule>
          <x14:cfRule type="expression" priority="59" id="{68771916-023D-42FD-AC69-5650DF509A89}">
            <xm:f>OR(AND(計分版!$H$1="物理",計分版!$H$13&lt;3),AND(計分版!$H$1="生物",計分版!$H$13&lt;3),AND(計分版!$H$1="化學",計分版!$H$13&lt;3),AND(計分版!$H$1="組合科學 (物理、化學)",計分版!$H$13&lt;3),AND(計分版!$H$1="組合科學 (物理、生物)",計分版!$H$13&lt;3),AND(計分版!$H$1="組合科學 (生物、化學)",計分版!$H$13&lt;3), AND(計分版!$H$1="資訊及通訊科技",計分版!$H$13&lt;3),AND(計分版!$I$1="物理",計分版!$I$13&lt;3),AND(計分版!$I$1="生物",計分版!$I$13&lt;3),AND(計分版!$I$1="化學",計分版!$I$13&lt;3),AND(計分版!$I$1="組合科學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(生物、化學)",計分版!$K$13&lt;3),AND(計分版!$K$1="綜合科學",計分版!$K$13&lt;3),計分版!$G$13&lt;3)</xm:f>
            <x14:dxf>
              <font>
                <color rgb="FF990033"/>
              </font>
              <fill>
                <patternFill>
                  <bgColor rgb="FFFFCCCC"/>
                </patternFill>
              </fill>
            </x14:dxf>
          </x14:cfRule>
          <xm:sqref>S45</xm:sqref>
        </x14:conditionalFormatting>
        <x14:conditionalFormatting xmlns:xm="http://schemas.microsoft.com/office/excel/2006/main">
          <x14:cfRule type="cellIs" priority="60" operator="lessThan" id="{28D464EA-CF4E-46EF-A586-94AB8A223223}">
            <xm:f>LARGE(計分版!$G$13:$L$13,2)</xm:f>
            <x14:dxf>
              <font>
                <color rgb="FF006100"/>
              </font>
              <fill>
                <patternFill>
                  <bgColor rgb="FFC6EFCE"/>
                </patternFill>
              </fill>
            </x14:dxf>
          </x14:cfRule>
          <x14:cfRule type="cellIs" priority="61" operator="greaterThan" id="{17E35F74-D1B8-4778-9486-1D3B20C3AE25}">
            <xm:f>LARGE(計分版!$G$13:$L$13,2)</xm:f>
            <x14:dxf>
              <font>
                <color rgb="FF9C0006"/>
              </font>
              <fill>
                <patternFill>
                  <bgColor rgb="FFFFC7CE"/>
                </patternFill>
              </fill>
            </x14:dxf>
          </x14:cfRule>
          <xm:sqref>T2:T29 T31:T37 T40:T43 T50:T63</xm:sqref>
        </x14:conditionalFormatting>
        <x14:conditionalFormatting xmlns:xm="http://schemas.microsoft.com/office/excel/2006/main">
          <x14:cfRule type="expression" priority="62" id="{22419175-A063-454A-A6A2-AF90CA7BC851}">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(生物、化學)",計分版!$H$13&gt;3),AND(計分版!$H$1="資訊及通訊科技",計分版!$H$13&gt;3),AND(計分版!$H$1="綜合科學",計分版!$H$13&gt;3),  AND(計分版!$H$1="經濟",計分版!$H$13&gt;3), AND(計分版!$H$1="地理",計分版!$H$13&gt;3), AND(計分版!$H$1="科技與生活",計分版!$H$13&gt;3),  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AND(計分版!$I$1="綜合科學",計分版!$I$13&gt;3), AND(計分版!$I$1="經濟",計分版!$I$13&gt;3), AND(計分版!$I$1="地理",計分版!$I$13&gt;3), AND(計分版!$I$1="科技與生活",計分版!$I$13&gt;3),  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AND(計分版!$J$1="綜合科學",計分版!$J$13&gt;3), AND(計分版!$J$1="經濟",計分版!$J$13&gt;3), AND(計分版!$J$1="地理",計分版!$J$13&gt;3), AND(計分版!$J$1="科技與生活",計分版!$J$13&gt;3),  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(生物、化學)",計分版!$K$13&gt;3),AND(計分版!$K$1="資訊及通訊科技",計分版!$K$13&gt;3),AND(計分版!$K$1="綜合科學",計分版!$K$13&gt;3), AND(計分版!$K$1="經濟",計分版!$K$13&gt;3), AND(計分版!$K$1="地理",計分版!$K$13&gt;3), AND(計分版!$K$1="科技與生活",計分版!$K$13&gt;3))</xm:f>
            <x14:dxf>
              <font>
                <color rgb="FF006100"/>
              </font>
              <fill>
                <patternFill>
                  <bgColor rgb="FFC6EFCE"/>
                </patternFill>
              </fill>
            </x14:dxf>
          </x14:cfRule>
          <x14:cfRule type="expression" priority="63" id="{5AB473EF-8D5A-4B2A-8460-FB67970E41C4}">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(生物、化學)",計分版!$H$13&lt;3),AND(計分版!$H$1="資訊及通訊科技",計分版!$H$13&lt;3),AND(計分版!$H$1="綜合科學",計分版!$H$13&lt;3),  AND(計分版!$H$1="經濟",計分版!$H$13&lt;3), AND(計分版!$H$1="地理",計分版!$H$13&lt;3), AND(計分版!$H$1="科技與生活",計分版!$H$13&lt;3),  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 AND(計分版!$I$1="綜合科學",計分版!$I$13&lt;3), AND(計分版!$I$1="經濟",計分版!$I$13&lt;3), AND(計分版!$I$1="地理",計分版!$I$13&lt;3), AND(計分版!$I$1="科技與生活",計分版!$I$13&lt;3),  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 AND(計分版!$J$1="綜合科學",計分版!$J$13&lt;3), AND(計分版!$J$1="經濟",計分版!$J$13&lt;3), AND(計分版!$J$1="地理",計分版!$J$13&lt;3), AND(計分版!$J$1="科技與生活",計分版!$J$13&lt;3),  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(生物、化學)",計分版!$K$13&lt;3),AND(計分版!$K$1="資訊及通訊科技",計分版!$K$13&lt;3),AND(計分版!$K$1="綜合科學",計分版!$K$13&lt;3), AND(計分版!$K$1="經濟",計分版!$K$13&lt;3), AND(計分版!$K$1="地理",計分版!$K$13&lt;3), AND(計分版!$K$1="科技與生活",計分版!$K$13&lt;3))</xm:f>
            <x14:dxf>
              <font>
                <color rgb="FF9C0006"/>
              </font>
              <fill>
                <patternFill>
                  <bgColor rgb="FFFFC7CE"/>
                </patternFill>
              </fill>
            </x14:dxf>
          </x14:cfRule>
          <x14:cfRule type="expression" priority="64" id="{BE75666D-6FEF-4897-BC3D-4B301B1FE257}">
            <xm:f>AND(OR(計分版!$H$1&lt;&gt;"化學",計分版!$I$1&lt;&gt;"化學",計分版!$J$1&lt;&gt;"化學",計分版!$K$1&lt;&gt;"化學"),OR(計分版!$H$1&lt;&gt;"生物",計分版!$I$1&lt;&gt;"生物",計分版!$J$1&lt;&gt;"生物",計分版!$K$1&lt;&gt;"生物"), OR(計分版!$H$1&lt;&gt;"物理",計分版!$I$1&lt;&gt;"物理",計分版!$J$1&lt;&gt;"物理",計分版!$K$1&lt;&gt;"物理"), OR(計分版!$H$1&lt;&gt;"組合科學 (物理、化學)",計分版!$I$1&lt;&gt;"組合科學 (物理、化學)",計分版!$J$1&lt;&gt;"組合科學 (物理、化學)",計分版!$K$1&lt;&gt;"組合科學 (物理、化學)"), OR(計分版!$H$1&lt;&gt;"組合科學 (物理、生物)",計分版!$I$1&lt;&gt;"組合科學 (物理、生物)",計分版!$J$1&lt;&gt;"組合科學 (物理、生物)",計分版!$K$1&lt;&gt;"組合科學 (物理、生物)"), OR(計分版!$H$1&lt;&gt;"組合科學 (生物、化學)",計分版!$I$1&lt;&gt;"組合科學 (生物、化學)",計分版!$J$1&lt;&gt;"組合科學 (生物、化學)",計分版!$K$1&lt;&gt;"組合科學 (生物、化學)"), OR(計分版!$H$1&lt;&gt;"資訊及通訊科技",計分版!$I$1&lt;&gt;"資訊及通訊科技",計分版!$J$1&lt;&gt;"資訊及通訊科技",計分版!$K$1&lt;&gt;"資訊及通訊科技"), OR(計分版!$H$1&lt;&gt;"綜合科學",計分版!$I$1&lt;&gt;"綜合科學",計分版!$J$1&lt;&gt;"綜合科學",計分版!$K$1&lt;&gt;"綜合科學"), OR(計分版!$H$1&lt;&gt;"經濟",計分版!$I$1&lt;&gt;"經濟",計分版!$J$1&lt;&gt;"經濟",計分版!$K$1&lt;&gt;"經濟"), OR(計分版!$H$1&lt;&gt;"地理",計分版!$I$1&lt;&gt;"地理",計分版!$J$1&lt;&gt;"地理",計分版!$K$1&lt;&gt;"地理"), OR(計分版!$H$1&lt;&gt;"科技與生活",計分版!$I$1&lt;&gt;"科技與生活",計分版!$J$1&lt;&gt;"科技與生活",計分版!$K$1&lt;&gt;"科技與生活"))</xm:f>
            <x14:dxf>
              <font>
                <color rgb="FF9C0006"/>
              </font>
              <fill>
                <patternFill>
                  <bgColor rgb="FFFFC7CE"/>
                </patternFill>
              </fill>
            </x14:dxf>
          </x14:cfRule>
          <xm:sqref>S47</xm:sqref>
        </x14:conditionalFormatting>
        <x14:conditionalFormatting xmlns:xm="http://schemas.microsoft.com/office/excel/2006/main">
          <x14:cfRule type="cellIs" priority="65" operator="lessThan" id="{71E4FF1B-7122-4710-8693-BD32201BDC2D}">
            <xm:f>計分版!$G$13</xm:f>
            <x14:dxf>
              <font>
                <color rgb="FF006100"/>
              </font>
              <fill>
                <patternFill>
                  <bgColor rgb="FFC6EFCE"/>
                </patternFill>
              </fill>
            </x14:dxf>
          </x14:cfRule>
          <x14:cfRule type="cellIs" priority="66" operator="greaterThan" id="{15D7D1C8-A6C7-45B6-AA0E-5087AA5D6462}">
            <xm:f>計分版!$G$13</xm:f>
            <x14:dxf>
              <font>
                <color rgb="FF9C0006"/>
              </font>
              <fill>
                <patternFill>
                  <bgColor rgb="FFFFC7CE"/>
                </patternFill>
              </fill>
            </x14:dxf>
          </x14:cfRule>
          <xm:sqref>T47</xm:sqref>
        </x14:conditionalFormatting>
        <x14:conditionalFormatting xmlns:xm="http://schemas.microsoft.com/office/excel/2006/main">
          <x14:cfRule type="expression" priority="67" id="{5F784321-3AA5-42B7-9E1A-AD32411667E7}">
            <xm:f>OR(AND(計分版!$H$1="物理",計分版!$H$13&gt;4),AND(計分版!$I$1="物理",計分版!$I$13&gt;4),AND(計分版!$J$1="物理",計分版!$J$13&gt;4), AND(計分版!$K$1="物理",計分版!$K$13&gt;4))</xm:f>
            <x14:dxf>
              <font>
                <color rgb="FF006100"/>
              </font>
              <fill>
                <patternFill>
                  <bgColor rgb="FFC6EFCE"/>
                </patternFill>
              </fill>
            </x14:dxf>
          </x14:cfRule>
          <x14:cfRule type="expression" priority="68" id="{CA711205-895A-4BCD-A738-AE9B1B2DF8AA}">
            <xm:f>OR(AND(計分版!$H$1="物理",計分版!$H$13&lt;4),AND(計分版!$I$1="物理",計分版!$I$13&lt;4),AND(計分版!$J$1="物理",計分版!$J$13&lt;4), AND(計分版!$K$1="物理",計分版!$K$13&lt;4), 計分版!$H$1&lt;&gt;"物理",計分版!$I$1&lt;&gt;"物理",計分版!$J$1&lt;&gt;"物理",計分版!$K$1&lt;&gt;"物理")</xm:f>
            <x14:dxf>
              <font>
                <color rgb="FF9C0006"/>
              </font>
              <fill>
                <patternFill>
                  <bgColor rgb="FFFFC7CE"/>
                </patternFill>
              </fill>
            </x14:dxf>
          </x14:cfRule>
          <xm:sqref>S48</xm:sqref>
        </x14:conditionalFormatting>
        <x14:conditionalFormatting xmlns:xm="http://schemas.microsoft.com/office/excel/2006/main">
          <x14:cfRule type="expression" priority="69" id="{C1F413EB-A477-42EA-99B9-E65EE8FDD8DB}">
            <xm:f>OR(AND(計分版!$H$1="物理",計分版!$H$13&gt;3),AND(計分版!$H$1="生物",計分版!$H$13&gt;3),AND(計分版!$H$1="化學",計分版!$H$13&gt;3),AND(計分版!$H$1="組合科學 (物理、化學)",計分版!$H$13&gt;3),AND(計分版!$H$1="組合科學 (物理、生物)",計分版!$H$13&gt;3),AND(計分版!$H$1="組合科學 (生物、化學)",計分版!$H$13&gt;3),AND(計分版!$H$1="資訊及通訊科技",計分版!$H$13&gt;3),AND(計分版!$H$1="綜合科學",計分版!$H$13&gt;3),  AND(計分版!$H$1="經濟",計分版!$H$13&gt;3), AND(計分版!$H$1="地理",計分版!$H$13&gt;3), AND(計分版!$H$1="科技與生活",計分版!$H$13&gt;3),  AND(計分版!$I$1="物理",計分版!$I$13&gt;3),AND(計分版!$I$1="生物",計分版!$I$13&gt;3),AND(計分版!$I$1="化學",計分版!$I$13&gt;3),AND(計分版!$I$1="組合科學 (物理、化學)",計分版!$I$13&gt;3),AND(計分版!$I$1="組合科學 (物理、生物)",計分版!$I$13&gt;3),AND(計分版!$I$1="組合科學 (生物、化學)",計分版!$I$13&gt;3),AND(計分版!$I$1="資訊及通訊科技",計分版!$I$13&gt;3), AND(計分版!$I$1="綜合科學",計分版!$I$13&gt;3), AND(計分版!$I$1="經濟",計分版!$I$13&gt;3), AND(計分版!$I$1="地理",計分版!$I$13&gt;3), AND(計分版!$I$1="科技與生活",計分版!$I$13&gt;3),  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 AND(計分版!$J$1="綜合科學",計分版!$J$13&gt;3), AND(計分版!$J$1="經濟",計分版!$J$13&gt;3), AND(計分版!$J$1="地理",計分版!$J$13&gt;3), AND(計分版!$J$1="科技與生活",計分版!$J$13&gt;3),  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(生物、化學)",計分版!$K$13&gt;3),AND(計分版!$K$1="資訊及通訊科技",計分版!$K$13&gt;3),AND(計分版!$K$1="綜合科學",計分版!$K$13&gt;3), AND(計分版!$K$1="經濟",計分版!$K$13&gt;3), AND(計分版!$K$1="地理",計分版!$K$13&gt;3), AND(計分版!$K$1="科技與生活",計分版!$K$13&gt;3), 計分版!$G$13&gt;3)</xm:f>
            <x14:dxf>
              <font>
                <color rgb="FF006100"/>
              </font>
              <fill>
                <patternFill>
                  <bgColor rgb="FFC6EFCE"/>
                </patternFill>
              </fill>
            </x14:dxf>
          </x14:cfRule>
          <x14:cfRule type="expression" priority="70" id="{9C27589C-19AF-4071-9565-C7D2963E7AD7}">
            <xm:f>OR(AND(計分版!$H$1="物理",計分版!$H$13&lt;3),AND(計分版!$H$1="生物",計分版!$H$13&lt;3),AND(計分版!$H$1="化學",計分版!$H$13&lt;3),AND(計分版!$H$1="組合科學 (物理、化學)",計分版!$H$13&lt;3),AND(計分版!$H$1="組合科學 (物理、生物)",計分版!$H$13&lt;3),AND(計分版!$H$1="組合科學 (生物、化學)",計分版!$H$13&lt;3),AND(計分版!$H$1="資訊及通訊科技",計分版!$H$13&lt;3),AND(計分版!$H$1="綜合科學",計分版!$H$13&lt;3),  AND(計分版!$H$1="經濟",計分版!$H$13&lt;3), AND(計分版!$H$1="地理",計分版!$H$13&lt;3), AND(計分版!$H$1="科技與生活",計分版!$H$13&lt;3),  AND(計分版!$I$1="物理",計分版!$I$13&lt;3),AND(計分版!$I$1="生物",計分版!$I$13&lt;3),AND(計分版!$I$1="化學",計分版!$I$13&lt;3),AND(計分版!$I$1="組合科學 (物理、化學)",計分版!$I$13&lt;3),AND(計分版!$I$1="組合科學 (物理、生物)",計分版!$I$13&lt;3),AND(計分版!$I$1="組合科學 (生物、化學)",計分版!$I$13&lt;3),AND(計分版!$I$1="資訊及通訊科技",計分版!$I$13&lt;3), AND(計分版!$I$1="綜合科學",計分版!$I$13&lt;3), AND(計分版!$I$1="經濟",計分版!$I$13&lt;3), AND(計分版!$I$1="地理",計分版!$I$13&lt;3), AND(計分版!$I$1="科技與生活",計分版!$I$13&lt;3),  AND(計分版!$J$1="物理",計分版!$J$13&lt;3),AND(計分版!$J$1="生物",計分版!$J$13&lt;3),AND(計分版!$J$1="化學",計分版!$J$13&lt;3),AND(計分版!$J$1="組合科學 (物理、化學)",計分版!$J$13&lt;3),AND(計分版!$J$1="組合科學 (物理、生物)",計分版!$J$13&lt;3),AND(計分版!$J$1="組合科學 (生物、化學)",計分版!$J$13&lt;3),AND(計分版!$J$1="資訊及通訊科技",計分版!$J$13&lt;3), AND(計分版!$J$1="綜合科學",計分版!$J$13&lt;3), AND(計分版!$J$1="經濟",計分版!$J$13&lt;3), AND(計分版!$J$1="地理",計分版!$J$13&lt;3), AND(計分版!$J$1="科技與生活",計分版!$J$13&lt;3),  AND(計分版!$K$1="物理",計分版!$K$13&lt;3),AND(計分版!$K$1="生物",計分版!$K$13&lt;3),AND(計分版!$K$1="化學",計分版!$K$13&lt;3),AND(計分版!$K$1="組合科學 (物理、化學)",計分版!$K$13&lt;3),AND(計分版!$K$1="組合科學 (物理、生物)",計分版!$K$13&lt;3),AND(計分版!$K$1="組合科學 (生物、化學)",計分版!$K$13&lt;3),AND(計分版!$K$1="資訊及通訊科技",計分版!$K$13&lt;3),AND(計分版!$K$1="綜合科學",計分版!$K$13&lt;3), AND(計分版!$K$1="經濟",計分版!$K$13&lt;3), AND(計分版!$K$1="地理",計分版!$K$13&lt;3), AND(計分版!$K$1="科技與生活",計分版!$K$13&lt;3), 計分版!$G$13&lt;3)</xm:f>
            <x14:dxf>
              <font>
                <color rgb="FF9C0006"/>
              </font>
              <fill>
                <patternFill>
                  <bgColor rgb="FFFFC7CE"/>
                </patternFill>
              </fill>
            </x14:dxf>
          </x14:cfRule>
          <xm:sqref>T48</xm:sqref>
        </x14:conditionalFormatting>
        <x14:conditionalFormatting xmlns:xm="http://schemas.microsoft.com/office/excel/2006/main">
          <x14:cfRule type="cellIs" priority="71" operator="lessThan" id="{AAE4EAB0-879E-4DF8-BD3B-8BDCD3788866}">
            <xm:f>LARGE(計分版!$H$13:$K$13,1)</xm:f>
            <x14:dxf>
              <font>
                <color rgb="FF006100"/>
              </font>
              <fill>
                <patternFill>
                  <bgColor rgb="FFC6EFCE"/>
                </patternFill>
              </fill>
            </x14:dxf>
          </x14:cfRule>
          <x14:cfRule type="cellIs" priority="72" operator="greaterThan" id="{C2D21007-092F-46B8-BC2C-99C171990C88}">
            <xm:f>LARGE(計分版!$H$13:$K$13,1)</xm:f>
            <x14:dxf>
              <font>
                <color rgb="FF9C0006"/>
              </font>
              <fill>
                <patternFill>
                  <bgColor rgb="FFFFC7CE"/>
                </patternFill>
              </fill>
            </x14:dxf>
          </x14:cfRule>
          <xm:sqref>S49</xm:sqref>
        </x14:conditionalFormatting>
        <x14:conditionalFormatting xmlns:xm="http://schemas.microsoft.com/office/excel/2006/main">
          <x14:cfRule type="cellIs" priority="73" operator="greaterThan" id="{F0BE327C-D29D-4B41-B66F-3098A9BC6F26}">
            <xm:f>計分版!$V$112</xm:f>
            <x14:dxf>
              <font>
                <color rgb="FF9C0006"/>
              </font>
              <fill>
                <patternFill>
                  <bgColor rgb="FFFFC7CE"/>
                </patternFill>
              </fill>
            </x14:dxf>
          </x14:cfRule>
          <x14:cfRule type="cellIs" priority="74" operator="lessThan" id="{02BF4AB7-4DE6-4014-B3CD-9B0D143E3712}">
            <xm:f>計分版!$V$112</xm:f>
            <x14:dxf>
              <font>
                <color rgb="FF006100"/>
              </font>
              <fill>
                <patternFill>
                  <bgColor rgb="FFC6EFCE"/>
                </patternFill>
              </fill>
            </x14:dxf>
          </x14:cfRule>
          <x14:cfRule type="expression" priority="75" id="{17163F93-DF88-46C0-96BD-36014FE76E61}">
            <xm:f>OR(AND(計分版!$H$1="物理",計分版!$H$13&gt;4),AND(計分版!$H$1="地理",計分版!$H$13&gt;4),AND(計分版!$H$1="化學",計分版!$H$13&gt;4),AND(計分版!$H$1="組合科學 (物理、化學)",計分版!$H$13&gt;4),AND(計分版!$H$1="組合科學 (物理、生物)",計分版!$H$13&gt;4),AND(計分版!$H$1="組合科學 (生物、化學)",計分版!$H$13&gt;4),AND(計分版!$I$1="物理",計分版!$I$13&gt;4),AND(計分版!$I$1="地理",計分版!$I$13&gt;4),AND(計分版!$I$1="化學",計分版!$I$13&gt;4),AND(計分版!$I$1="組合科學 (物理、化學)",計分版!$I$13&gt;4),AND(計分版!$I$1="組合科學 (物理、生物)",計分版!$I$13&gt;4),AND(計分版!$I$1="組合科學 (生物、化學)",計分版!$I$13&gt;4),AND(計分版!$J$1="物理",計分版!$J$13&gt;4),AND(計分版!$J$1="地理",計分版!$J$13&gt;4),AND(計分版!$J$1="化學",計分版!$J$13&gt;4),AND(計分版!$J$1="組合科學 (物理、化學)",計分版!$J$13&gt;4),AND(計分版!$J$1="組合科學 (物理、生物)",計分版!$J$13&gt;4),AND(計分版!$J$1="組合科學 (生物、化學)",計分版!$J$13&gt;4),AND(計分版!$K$1="物理",計分版!$K$13&gt;4),AND(計分版!$K$1="地理",計分版!$K$13&gt;4),AND(計分版!$K$1="化學",計分版!$K$13&gt;4),AND(計分版!$K$1="組合科學 (物理、化學)",計分版!$K$13&gt;4),AND(計分版!$K$1="組合科學 (物理、生物)",計分版!$K$13&gt;4),AND(計分版!$K$1="組合科學 (生物、化學)",計分版!$K$13&gt;4),計分版!$G$13&gt;4)</xm:f>
            <x14:dxf>
              <font>
                <color rgb="FF006100"/>
              </font>
              <fill>
                <patternFill>
                  <bgColor rgb="FFC6EFCE"/>
                </patternFill>
              </fill>
            </x14:dxf>
          </x14:cfRule>
          <x14:cfRule type="expression" priority="76" id="{D8636BC0-0E0A-4FC2-80E8-D1FA0967894A}">
            <xm:f>OR(AND(計分版!$H$1="物理",計分版!$H$13&lt;4),AND(計分版!$H$1="地理",計分版!$H$13&lt;4),AND(計分版!$H$1="化學",計分版!$H$13&lt;4),AND(計分版!$H$1="組合科學 (物理、化學)",計分版!$H$13&lt;4),AND(計分版!$H$1="組合科學 (物理、生物)",計分版!$H$13&lt;4),AND(計分版!$H$1="組合科學 (生物、化學)",計分版!$H$13&lt;4),AND(計分版!$I$1="物理",計分版!$I$13&lt;4),AND(計分版!$I$1="地理",計分版!$I$13&lt;4),AND(計分版!$I$1="化學",計分版!$I$13&lt;4),AND(計分版!$I$1="組合科學 (物理、化學)",計分版!$I$13&lt;4),AND(計分版!$I$1="組合科學 (物理、生物)",計分版!$I$13&lt;4),AND(計分版!$I$1="組合科學 (生物、化學)",計分版!$I$13&lt;4),AND(計分版!$J$1="物理",計分版!$J$13&lt;4),AND(計分版!$J$1="地理",計分版!$J$13&lt;4),AND(計分版!$J$1="化學",計分版!$J$13&lt;4),AND(計分版!$J$1="組合科學 (物理、化學)",計分版!$J$13&lt;4),AND(計分版!$J$1="組合科學 (物理、生物)",計分版!$J$13&lt;4),AND(計分版!$J$1="組合科學 (生物、化學)",計分版!$J$13&lt;4),AND(計分版!$K$1="物理",計分版!$K$13&lt;4),AND(計分版!$K$1="地理",計分版!$K$13&lt;4),AND(計分版!$K$1="化學",計分版!$K$13&lt;4),AND(計分版!$K$1="組合科學 (物理、化學)",計分版!$K$13&lt;4),AND(計分版!$K$1="組合科學 (物理、生物)",計分版!$K$13&lt;4),AND(計分版!$K$1="組合科學 (生物、化學)",計分版!$K$13&lt;4),計分版!$G$13&lt;4)</xm:f>
            <x14:dxf>
              <font>
                <color rgb="FF990033"/>
              </font>
              <fill>
                <patternFill>
                  <bgColor rgb="FFFFCCCC"/>
                </patternFill>
              </fill>
            </x14:dxf>
          </x14:cfRule>
          <xm:sqref>S46</xm:sqref>
        </x14:conditionalFormatting>
        <x14:conditionalFormatting xmlns:xm="http://schemas.microsoft.com/office/excel/2006/main">
          <x14:cfRule type="expression" priority="34" id="{34465269-3E05-4BFE-B713-A0E951B8E2DB}">
            <xm:f>計分版!$T$74=0</xm:f>
            <x14:dxf>
              <font>
                <color rgb="FF9C5700"/>
              </font>
              <fill>
                <patternFill>
                  <bgColor rgb="FFFFEB9C"/>
                </patternFill>
              </fill>
            </x14:dxf>
          </x14:cfRule>
          <xm:sqref>S11</xm:sqref>
        </x14:conditionalFormatting>
        <x14:conditionalFormatting xmlns:xm="http://schemas.microsoft.com/office/excel/2006/main">
          <x14:cfRule type="expression" priority="2" id="{EFF19F0C-1CA9-443E-86C3-63F2BF486ABD}">
            <xm:f>計分版!$T$69=0</xm:f>
            <x14:dxf>
              <font>
                <color rgb="FF9C5700"/>
              </font>
              <fill>
                <patternFill>
                  <bgColor rgb="FFFFEB9C"/>
                </patternFill>
              </fill>
            </x14:dxf>
          </x14:cfRule>
          <xm:sqref>S6</xm:sqref>
        </x14:conditionalFormatting>
        <x14:conditionalFormatting xmlns:xm="http://schemas.microsoft.com/office/excel/2006/main">
          <x14:cfRule type="expression" priority="1" id="{0943439F-50AE-4199-92AC-6BB07A4CF205}">
            <xm:f>計分版!$T$70=0</xm:f>
            <x14:dxf>
              <font>
                <color rgb="FF9C5700"/>
              </font>
              <fill>
                <patternFill>
                  <bgColor rgb="FFFFEB9C"/>
                </patternFill>
              </fill>
            </x14:dxf>
          </x14:cfRule>
          <xm:sqref>S7</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62FEDEDF-EF3F-4B67-BA7E-23459E650189}">
          <x14:formula1>
            <xm:f>選單!$I$1:$I$3</xm:f>
          </x14:formula1>
          <xm:sqref>J1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BC66D-62FF-4BF3-912E-57F2775A0E11}">
  <dimension ref="A1:AA112"/>
  <sheetViews>
    <sheetView zoomScaleNormal="100" workbookViewId="0">
      <selection activeCell="W11" sqref="W11"/>
    </sheetView>
  </sheetViews>
  <sheetFormatPr defaultColWidth="0" defaultRowHeight="13.5" zeroHeight="1"/>
  <cols>
    <col min="1" max="1" width="7" style="19" customWidth="1"/>
    <col min="2" max="2" width="9.25" style="19" customWidth="1"/>
    <col min="3" max="3" width="20.125" style="19" customWidth="1"/>
    <col min="4" max="4" width="4.25" style="19" hidden="1" customWidth="1"/>
    <col min="5" max="5" width="10.625" style="18" customWidth="1"/>
    <col min="6" max="6" width="7.75" style="47" customWidth="1"/>
    <col min="7" max="7" width="6.125" style="47" customWidth="1"/>
    <col min="8" max="8" width="7.25" style="47" customWidth="1"/>
    <col min="9" max="9" width="7.125" style="63" customWidth="1"/>
    <col min="10" max="10" width="7.25" style="64" customWidth="1"/>
    <col min="11" max="11" width="5" style="47" customWidth="1"/>
    <col min="12" max="12" width="4.5" style="65" hidden="1" customWidth="1"/>
    <col min="13" max="13" width="4.5" style="19" customWidth="1"/>
    <col min="14" max="14" width="8.375" style="47" customWidth="1"/>
    <col min="15" max="20" width="2.75" style="47" customWidth="1"/>
    <col min="21" max="24" width="9" style="19" customWidth="1"/>
    <col min="25" max="27" width="0" style="19" hidden="1" customWidth="1"/>
    <col min="28" max="16384" width="9" style="19" hidden="1"/>
  </cols>
  <sheetData>
    <row r="1" spans="1:20" s="115" customFormat="1" ht="18" customHeight="1">
      <c r="A1" s="115" t="s">
        <v>228</v>
      </c>
      <c r="B1" s="115" t="s">
        <v>325</v>
      </c>
      <c r="C1" s="115" t="s">
        <v>400</v>
      </c>
      <c r="E1" s="115" t="s">
        <v>229</v>
      </c>
      <c r="F1" s="116" t="s">
        <v>327</v>
      </c>
      <c r="G1" s="116" t="s">
        <v>328</v>
      </c>
      <c r="H1" s="116" t="s">
        <v>230</v>
      </c>
      <c r="I1" s="317" t="s">
        <v>396</v>
      </c>
      <c r="J1" s="317"/>
      <c r="K1" s="116" t="s">
        <v>394</v>
      </c>
      <c r="L1" s="117" t="s">
        <v>436</v>
      </c>
      <c r="M1" s="115" t="s">
        <v>414</v>
      </c>
      <c r="N1" s="116" t="s">
        <v>415</v>
      </c>
      <c r="O1" s="116" t="s">
        <v>405</v>
      </c>
      <c r="P1" s="116" t="s">
        <v>406</v>
      </c>
      <c r="Q1" s="116" t="s">
        <v>407</v>
      </c>
      <c r="R1" s="116" t="s">
        <v>408</v>
      </c>
      <c r="S1" s="116" t="s">
        <v>409</v>
      </c>
      <c r="T1" s="116" t="s">
        <v>410</v>
      </c>
    </row>
    <row r="2" spans="1:20" s="25" customFormat="1" ht="18" customHeight="1">
      <c r="A2" s="25" t="s">
        <v>619</v>
      </c>
      <c r="B2" s="25" t="s">
        <v>424</v>
      </c>
      <c r="C2" s="25" t="s">
        <v>621</v>
      </c>
      <c r="D2" s="25" t="s">
        <v>620</v>
      </c>
      <c r="E2" s="25" t="s">
        <v>688</v>
      </c>
      <c r="F2" s="26">
        <v>31</v>
      </c>
      <c r="G2" s="26">
        <v>30</v>
      </c>
      <c r="H2" s="233">
        <f>計分版!D187</f>
        <v>1.9500000000000001E-9</v>
      </c>
      <c r="I2" s="123">
        <f>IF(I$1="差距(Median)",H2-F2,IF(I$1="差距(UQ)",H2-#REF!,IF(I$1="差距(LQ)",H2-G2)))</f>
        <v>-30.999999998050001</v>
      </c>
      <c r="J2" s="124">
        <f>IF(I$1="差距(Median)",(H2-F2)/H2,IF(I$1="差距(UQ)",(H2-#REF!)/H2,IF(I$1="差距(LQ)",(H2-G2)/H2)))</f>
        <v>-15897435896.435898</v>
      </c>
      <c r="K2" s="45">
        <v>21</v>
      </c>
      <c r="L2" s="125"/>
      <c r="M2" s="29">
        <f>入學要求!S113</f>
        <v>0</v>
      </c>
      <c r="N2" s="30" t="s">
        <v>417</v>
      </c>
      <c r="O2" s="30">
        <v>3</v>
      </c>
      <c r="P2" s="30">
        <v>3</v>
      </c>
      <c r="Q2" s="30">
        <v>2</v>
      </c>
      <c r="R2" s="30">
        <v>2</v>
      </c>
      <c r="S2" s="30">
        <v>3</v>
      </c>
      <c r="T2" s="30">
        <v>3</v>
      </c>
    </row>
    <row r="3" spans="1:20" ht="18" customHeight="1">
      <c r="A3" s="19" t="s">
        <v>622</v>
      </c>
      <c r="B3" s="19" t="s">
        <v>424</v>
      </c>
      <c r="C3" s="19" t="s">
        <v>624</v>
      </c>
      <c r="D3" s="19" t="s">
        <v>623</v>
      </c>
      <c r="E3" s="19" t="s">
        <v>689</v>
      </c>
      <c r="F3" s="21">
        <v>23.5</v>
      </c>
      <c r="G3" s="21">
        <v>23</v>
      </c>
      <c r="H3" s="230">
        <f>計分版!D188</f>
        <v>3.7000000000000005E-9</v>
      </c>
      <c r="I3" s="91">
        <f>IF(I$1="差距(Median)",H3-F3,IF(I$1="差距(UQ)",H3-#REF!,IF(I$1="差距(LQ)",H3-G3)))</f>
        <v>-23.499999996300001</v>
      </c>
      <c r="J3" s="92">
        <f>IF(I$1="差距(Median)",(H3-F3)/H3,IF(I$1="差距(UQ)",(H3-#REF!)/H3,IF(I$1="差距(LQ)",(H3-G3)/H3)))</f>
        <v>-6351351350.3513508</v>
      </c>
      <c r="K3" s="316">
        <v>464</v>
      </c>
      <c r="L3" s="93"/>
      <c r="M3" s="24">
        <f>入學要求!S114</f>
        <v>0</v>
      </c>
      <c r="N3" s="47" t="s">
        <v>416</v>
      </c>
      <c r="O3" s="47">
        <v>3</v>
      </c>
      <c r="P3" s="47">
        <v>3</v>
      </c>
      <c r="Q3" s="47">
        <v>2</v>
      </c>
      <c r="R3" s="47">
        <v>2</v>
      </c>
      <c r="S3" s="47">
        <v>3</v>
      </c>
      <c r="T3" s="47">
        <v>3</v>
      </c>
    </row>
    <row r="4" spans="1:20" s="25" customFormat="1" ht="18" customHeight="1">
      <c r="A4" s="25" t="s">
        <v>625</v>
      </c>
      <c r="B4" s="25" t="s">
        <v>424</v>
      </c>
      <c r="C4" s="25" t="s">
        <v>627</v>
      </c>
      <c r="D4" s="25" t="s">
        <v>626</v>
      </c>
      <c r="E4" s="25" t="s">
        <v>689</v>
      </c>
      <c r="F4" s="26">
        <v>23.5</v>
      </c>
      <c r="G4" s="26">
        <v>23</v>
      </c>
      <c r="H4" s="233">
        <f>計分版!D189</f>
        <v>3.2500000000000002E-9</v>
      </c>
      <c r="I4" s="123">
        <f>IF(I$1="差距(Median)",H4-F4,IF(I$1="差距(UQ)",H4-#REF!,IF(I$1="差距(LQ)",H4-G4)))</f>
        <v>-23.499999996749999</v>
      </c>
      <c r="J4" s="124">
        <f>IF(I$1="差距(Median)",(H4-F4)/H4,IF(I$1="差距(UQ)",(H4-#REF!)/H4,IF(I$1="差距(LQ)",(H4-G4)/H4)))</f>
        <v>-7230769229.7692299</v>
      </c>
      <c r="K4" s="316"/>
      <c r="L4" s="125"/>
      <c r="M4" s="29">
        <f>入學要求!S115</f>
        <v>0</v>
      </c>
      <c r="N4" s="30" t="s">
        <v>416</v>
      </c>
      <c r="O4" s="30">
        <v>3</v>
      </c>
      <c r="P4" s="30">
        <v>3</v>
      </c>
      <c r="Q4" s="30">
        <v>2</v>
      </c>
      <c r="R4" s="30">
        <v>2</v>
      </c>
      <c r="S4" s="30">
        <v>3</v>
      </c>
      <c r="T4" s="30">
        <v>3</v>
      </c>
    </row>
    <row r="5" spans="1:20" ht="18" customHeight="1">
      <c r="A5" s="19" t="s">
        <v>628</v>
      </c>
      <c r="B5" s="19" t="s">
        <v>869</v>
      </c>
      <c r="C5" s="19" t="s">
        <v>629</v>
      </c>
      <c r="D5" s="19" t="s">
        <v>360</v>
      </c>
      <c r="E5" s="19" t="s">
        <v>689</v>
      </c>
      <c r="F5" s="21">
        <v>38</v>
      </c>
      <c r="G5" s="21">
        <v>35.5</v>
      </c>
      <c r="H5" s="230">
        <f>計分版!D190</f>
        <v>2.8499999999999999E-9</v>
      </c>
      <c r="I5" s="91">
        <f>IF(I$1="差距(Median)",H5-F5,IF(I$1="差距(UQ)",H5-#REF!,IF(I$1="差距(LQ)",H5-G5)))</f>
        <v>-37.999999997149999</v>
      </c>
      <c r="J5" s="92">
        <f>IF(I$1="差距(Median)",(H5-F5)/H5,IF(I$1="差距(UQ)",(H5-#REF!)/H5,IF(I$1="差距(LQ)",(H5-G5)/H5)))</f>
        <v>-13333333332.333334</v>
      </c>
      <c r="K5" s="126">
        <v>674</v>
      </c>
      <c r="L5" s="93"/>
      <c r="M5" s="24">
        <f>入學要求!S116</f>
        <v>0</v>
      </c>
      <c r="N5" s="47" t="s">
        <v>416</v>
      </c>
      <c r="O5" s="47">
        <v>3</v>
      </c>
      <c r="P5" s="47">
        <v>3</v>
      </c>
      <c r="Q5" s="47">
        <v>2</v>
      </c>
      <c r="R5" s="47">
        <v>2</v>
      </c>
      <c r="S5" s="47">
        <v>3</v>
      </c>
      <c r="T5" s="47">
        <v>3</v>
      </c>
    </row>
    <row r="6" spans="1:20" s="25" customFormat="1" ht="18" customHeight="1">
      <c r="A6" s="25" t="s">
        <v>630</v>
      </c>
      <c r="B6" s="25" t="s">
        <v>869</v>
      </c>
      <c r="C6" s="25" t="s">
        <v>632</v>
      </c>
      <c r="D6" s="25" t="s">
        <v>631</v>
      </c>
      <c r="E6" s="25" t="s">
        <v>689</v>
      </c>
      <c r="F6" s="26">
        <v>44</v>
      </c>
      <c r="G6" s="26">
        <v>40</v>
      </c>
      <c r="H6" s="233">
        <f>計分版!D191</f>
        <v>2.8499999999999999E-9</v>
      </c>
      <c r="I6" s="123">
        <f>IF(I$1="差距(Median)",H6-F6,IF(I$1="差距(UQ)",H6-#REF!,IF(I$1="差距(LQ)",H6-G6)))</f>
        <v>-43.999999997149999</v>
      </c>
      <c r="J6" s="124">
        <f>IF(I$1="差距(Median)",(H6-F6)/H6,IF(I$1="差距(UQ)",(H6-#REF!)/H6,IF(I$1="差距(LQ)",(H6-G6)/H6)))</f>
        <v>-15438596490.228071</v>
      </c>
      <c r="K6" s="45">
        <v>25</v>
      </c>
      <c r="L6" s="125"/>
      <c r="M6" s="29">
        <f>入學要求!S117</f>
        <v>0</v>
      </c>
      <c r="N6" s="30" t="s">
        <v>417</v>
      </c>
      <c r="O6" s="30">
        <v>3</v>
      </c>
      <c r="P6" s="30">
        <v>3</v>
      </c>
      <c r="Q6" s="30">
        <v>2</v>
      </c>
      <c r="R6" s="30">
        <v>2</v>
      </c>
      <c r="S6" s="30">
        <v>3</v>
      </c>
      <c r="T6" s="30">
        <v>3</v>
      </c>
    </row>
    <row r="7" spans="1:20" ht="18" customHeight="1">
      <c r="A7" s="19" t="s">
        <v>633</v>
      </c>
      <c r="B7" s="19" t="s">
        <v>870</v>
      </c>
      <c r="C7" s="19" t="s">
        <v>635</v>
      </c>
      <c r="D7" s="19" t="s">
        <v>634</v>
      </c>
      <c r="E7" s="19" t="s">
        <v>690</v>
      </c>
      <c r="F7" s="21">
        <v>36</v>
      </c>
      <c r="G7" s="21">
        <v>35</v>
      </c>
      <c r="H7" s="230">
        <f>計分版!D192</f>
        <v>4.3500000000000001E-9</v>
      </c>
      <c r="I7" s="91">
        <f>IF(I$1="差距(Median)",H7-F7,IF(I$1="差距(UQ)",H7-#REF!,IF(I$1="差距(LQ)",H7-G7)))</f>
        <v>-35.999999995650001</v>
      </c>
      <c r="J7" s="92">
        <f>IF(I$1="差距(Median)",(H7-F7)/H7,IF(I$1="差距(UQ)",(H7-#REF!)/H7,IF(I$1="差距(LQ)",(H7-G7)/H7)))</f>
        <v>-8275862067.965517</v>
      </c>
      <c r="K7" s="126">
        <v>385</v>
      </c>
      <c r="L7" s="93"/>
      <c r="M7" s="24">
        <f>入學要求!S118</f>
        <v>0</v>
      </c>
      <c r="N7" s="47" t="s">
        <v>416</v>
      </c>
      <c r="O7" s="47">
        <v>3</v>
      </c>
      <c r="P7" s="47">
        <v>4</v>
      </c>
      <c r="Q7" s="47">
        <v>3</v>
      </c>
      <c r="R7" s="47">
        <v>2</v>
      </c>
      <c r="S7" s="47">
        <v>3</v>
      </c>
      <c r="T7" s="47">
        <v>3</v>
      </c>
    </row>
    <row r="8" spans="1:20" s="25" customFormat="1" ht="18" customHeight="1">
      <c r="A8" s="25" t="s">
        <v>636</v>
      </c>
      <c r="B8" s="25" t="s">
        <v>870</v>
      </c>
      <c r="C8" s="25" t="s">
        <v>638</v>
      </c>
      <c r="D8" s="25" t="s">
        <v>637</v>
      </c>
      <c r="E8" s="25" t="s">
        <v>690</v>
      </c>
      <c r="F8" s="26">
        <v>40</v>
      </c>
      <c r="G8" s="26">
        <v>37</v>
      </c>
      <c r="H8" s="233">
        <f>計分版!D193</f>
        <v>4.3500000000000001E-9</v>
      </c>
      <c r="I8" s="123">
        <f>IF(I$1="差距(Median)",H8-F8,IF(I$1="差距(UQ)",H8-#REF!,IF(I$1="差距(LQ)",H8-G8)))</f>
        <v>-39.999999995650001</v>
      </c>
      <c r="J8" s="124">
        <f>IF(I$1="差距(Median)",(H8-F8)/H8,IF(I$1="差距(UQ)",(H8-#REF!)/H8,IF(I$1="差距(LQ)",(H8-G8)/H8)))</f>
        <v>-9195402297.8505745</v>
      </c>
      <c r="K8" s="45">
        <v>25</v>
      </c>
      <c r="L8" s="125"/>
      <c r="M8" s="29">
        <f>入學要求!S119</f>
        <v>0</v>
      </c>
      <c r="N8" s="30" t="s">
        <v>416</v>
      </c>
      <c r="O8" s="30">
        <v>3</v>
      </c>
      <c r="P8" s="30">
        <v>4</v>
      </c>
      <c r="Q8" s="30">
        <v>3</v>
      </c>
      <c r="R8" s="30">
        <v>2</v>
      </c>
      <c r="S8" s="30">
        <v>3</v>
      </c>
      <c r="T8" s="30">
        <v>3</v>
      </c>
    </row>
    <row r="9" spans="1:20" ht="18" customHeight="1">
      <c r="A9" s="19" t="s">
        <v>639</v>
      </c>
      <c r="B9" s="19" t="s">
        <v>870</v>
      </c>
      <c r="C9" s="19" t="s">
        <v>641</v>
      </c>
      <c r="D9" s="19" t="s">
        <v>640</v>
      </c>
      <c r="E9" s="19" t="s">
        <v>872</v>
      </c>
      <c r="F9" s="21">
        <v>45</v>
      </c>
      <c r="G9" s="21">
        <v>44</v>
      </c>
      <c r="H9" s="230">
        <f>計分版!D194</f>
        <v>4.3999999999999997E-9</v>
      </c>
      <c r="I9" s="91">
        <f>IF(I$1="差距(Median)",H9-F9,IF(I$1="差距(UQ)",H9-#REF!,IF(I$1="差距(LQ)",H9-G9)))</f>
        <v>-44.9999999956</v>
      </c>
      <c r="J9" s="92">
        <f>IF(I$1="差距(Median)",(H9-F9)/H9,IF(I$1="差距(UQ)",(H9-#REF!)/H9,IF(I$1="差距(LQ)",(H9-G9)/H9)))</f>
        <v>-10227272726.272728</v>
      </c>
      <c r="K9" s="126">
        <v>30</v>
      </c>
      <c r="L9" s="93"/>
      <c r="M9" s="24">
        <f>入學要求!S120</f>
        <v>0</v>
      </c>
      <c r="N9" s="47" t="s">
        <v>416</v>
      </c>
      <c r="O9" s="47">
        <v>3</v>
      </c>
      <c r="P9" s="47">
        <v>4</v>
      </c>
      <c r="Q9" s="47">
        <v>3</v>
      </c>
      <c r="R9" s="47">
        <v>2</v>
      </c>
      <c r="S9" s="47">
        <v>3</v>
      </c>
      <c r="T9" s="47">
        <v>3</v>
      </c>
    </row>
    <row r="10" spans="1:20" s="25" customFormat="1" ht="18" customHeight="1">
      <c r="A10" s="25" t="s">
        <v>642</v>
      </c>
      <c r="B10" s="25" t="s">
        <v>870</v>
      </c>
      <c r="C10" s="25" t="s">
        <v>644</v>
      </c>
      <c r="D10" s="25" t="s">
        <v>643</v>
      </c>
      <c r="E10" s="25" t="s">
        <v>690</v>
      </c>
      <c r="F10" s="26">
        <v>52</v>
      </c>
      <c r="G10" s="26">
        <v>50</v>
      </c>
      <c r="H10" s="233">
        <f>計分版!D195</f>
        <v>4.3500000000000001E-9</v>
      </c>
      <c r="I10" s="123">
        <f>IF(I$1="差距(Median)",H10-F10,IF(I$1="差距(UQ)",H10-#REF!,IF(I$1="差距(LQ)",H10-G10)))</f>
        <v>-51.999999995650001</v>
      </c>
      <c r="J10" s="124">
        <f>IF(I$1="差距(Median)",(H10-F10)/H10,IF(I$1="差距(UQ)",(H10-#REF!)/H10,IF(I$1="差距(LQ)",(H10-G10)/H10)))</f>
        <v>-11954022987.505747</v>
      </c>
      <c r="K10" s="45">
        <v>26</v>
      </c>
      <c r="L10" s="125"/>
      <c r="M10" s="29">
        <f>入學要求!S121</f>
        <v>0</v>
      </c>
      <c r="N10" s="30" t="s">
        <v>417</v>
      </c>
      <c r="O10" s="30">
        <v>3</v>
      </c>
      <c r="P10" s="30">
        <v>4</v>
      </c>
      <c r="Q10" s="30">
        <v>3</v>
      </c>
      <c r="R10" s="30">
        <v>2</v>
      </c>
      <c r="S10" s="30">
        <v>3</v>
      </c>
      <c r="T10" s="30">
        <v>3</v>
      </c>
    </row>
    <row r="11" spans="1:20" ht="18" customHeight="1">
      <c r="A11" s="19" t="s">
        <v>645</v>
      </c>
      <c r="B11" s="19" t="s">
        <v>870</v>
      </c>
      <c r="C11" s="19" t="s">
        <v>647</v>
      </c>
      <c r="D11" s="19" t="s">
        <v>646</v>
      </c>
      <c r="E11" s="19" t="s">
        <v>690</v>
      </c>
      <c r="F11" s="21">
        <v>38</v>
      </c>
      <c r="G11" s="21">
        <v>37</v>
      </c>
      <c r="H11" s="230">
        <f>計分版!D196</f>
        <v>4.3500000000000001E-9</v>
      </c>
      <c r="I11" s="91">
        <f>IF(I$1="差距(Median)",H11-F11,IF(I$1="差距(UQ)",H11-#REF!,IF(I$1="差距(LQ)",H11-G11)))</f>
        <v>-37.999999995650001</v>
      </c>
      <c r="J11" s="92">
        <f>IF(I$1="差距(Median)",(H11-F11)/H11,IF(I$1="差距(UQ)",(H11-#REF!)/H11,IF(I$1="差距(LQ)",(H11-G11)/H11)))</f>
        <v>-8735632182.9080467</v>
      </c>
      <c r="K11" s="126">
        <v>25</v>
      </c>
      <c r="L11" s="93"/>
      <c r="M11" s="24">
        <f>入學要求!S122</f>
        <v>0</v>
      </c>
      <c r="N11" s="47" t="s">
        <v>416</v>
      </c>
      <c r="O11" s="47">
        <v>3</v>
      </c>
      <c r="P11" s="47">
        <v>4</v>
      </c>
      <c r="Q11" s="47">
        <v>3</v>
      </c>
      <c r="R11" s="47">
        <v>2</v>
      </c>
      <c r="S11" s="47">
        <v>3</v>
      </c>
      <c r="T11" s="47">
        <v>3</v>
      </c>
    </row>
    <row r="12" spans="1:20" s="25" customFormat="1" ht="18" customHeight="1">
      <c r="A12" s="25" t="s">
        <v>648</v>
      </c>
      <c r="B12" s="25" t="s">
        <v>870</v>
      </c>
      <c r="C12" s="25" t="s">
        <v>650</v>
      </c>
      <c r="D12" s="25" t="s">
        <v>649</v>
      </c>
      <c r="E12" s="25" t="s">
        <v>690</v>
      </c>
      <c r="F12" s="26">
        <v>36</v>
      </c>
      <c r="G12" s="26">
        <v>36</v>
      </c>
      <c r="H12" s="233">
        <f>計分版!D197</f>
        <v>4.3500000000000001E-9</v>
      </c>
      <c r="I12" s="123">
        <f>IF(I$1="差距(Median)",H12-F12,IF(I$1="差距(UQ)",H12-#REF!,IF(I$1="差距(LQ)",H12-G12)))</f>
        <v>-35.999999995650001</v>
      </c>
      <c r="J12" s="124">
        <f>IF(I$1="差距(Median)",(H12-F12)/H12,IF(I$1="差距(UQ)",(H12-#REF!)/H12,IF(I$1="差距(LQ)",(H12-G12)/H12)))</f>
        <v>-8275862067.965517</v>
      </c>
      <c r="K12" s="45">
        <v>25</v>
      </c>
      <c r="L12" s="125"/>
      <c r="M12" s="29">
        <f>入學要求!S123</f>
        <v>0</v>
      </c>
      <c r="N12" s="30" t="s">
        <v>416</v>
      </c>
      <c r="O12" s="30">
        <v>3</v>
      </c>
      <c r="P12" s="30">
        <v>4</v>
      </c>
      <c r="Q12" s="30">
        <v>3</v>
      </c>
      <c r="R12" s="30">
        <v>2</v>
      </c>
      <c r="S12" s="30">
        <v>3</v>
      </c>
      <c r="T12" s="30">
        <v>3</v>
      </c>
    </row>
    <row r="13" spans="1:20" ht="18" customHeight="1">
      <c r="A13" s="19" t="s">
        <v>651</v>
      </c>
      <c r="B13" s="19" t="s">
        <v>870</v>
      </c>
      <c r="C13" s="19" t="s">
        <v>653</v>
      </c>
      <c r="D13" s="19" t="s">
        <v>652</v>
      </c>
      <c r="E13" s="19" t="s">
        <v>690</v>
      </c>
      <c r="F13" s="21">
        <v>37</v>
      </c>
      <c r="G13" s="21">
        <v>36</v>
      </c>
      <c r="H13" s="230">
        <f>計分版!D198</f>
        <v>4.3500000000000001E-9</v>
      </c>
      <c r="I13" s="91">
        <f>IF(I$1="差距(Median)",H13-F13,IF(I$1="差距(UQ)",H13-#REF!,IF(I$1="差距(LQ)",H13-G13)))</f>
        <v>-36.999999995650001</v>
      </c>
      <c r="J13" s="92">
        <f>IF(I$1="差距(Median)",(H13-F13)/H13,IF(I$1="差距(UQ)",(H13-#REF!)/H13,IF(I$1="差距(LQ)",(H13-G13)/H13)))</f>
        <v>-8505747125.4367819</v>
      </c>
      <c r="K13" s="126">
        <v>25</v>
      </c>
      <c r="L13" s="93"/>
      <c r="M13" s="24">
        <f>入學要求!S124</f>
        <v>0</v>
      </c>
      <c r="N13" s="47" t="s">
        <v>416</v>
      </c>
      <c r="O13" s="47">
        <v>3</v>
      </c>
      <c r="P13" s="47">
        <v>4</v>
      </c>
      <c r="Q13" s="47">
        <v>3</v>
      </c>
      <c r="R13" s="47">
        <v>2</v>
      </c>
      <c r="S13" s="47">
        <v>3</v>
      </c>
      <c r="T13" s="47">
        <v>3</v>
      </c>
    </row>
    <row r="14" spans="1:20" s="25" customFormat="1" ht="18" customHeight="1">
      <c r="A14" s="25" t="s">
        <v>654</v>
      </c>
      <c r="B14" s="25" t="s">
        <v>870</v>
      </c>
      <c r="C14" s="25" t="s">
        <v>656</v>
      </c>
      <c r="D14" s="25" t="s">
        <v>655</v>
      </c>
      <c r="E14" s="25" t="s">
        <v>690</v>
      </c>
      <c r="F14" s="26">
        <v>36</v>
      </c>
      <c r="G14" s="26">
        <v>35</v>
      </c>
      <c r="H14" s="233">
        <f>計分版!D199</f>
        <v>4.3500000000000001E-9</v>
      </c>
      <c r="I14" s="123">
        <f>IF(I$1="差距(Median)",H14-F14,IF(I$1="差距(UQ)",H14-#REF!,IF(I$1="差距(LQ)",H14-G14)))</f>
        <v>-35.999999995650001</v>
      </c>
      <c r="J14" s="124">
        <f>IF(I$1="差距(Median)",(H14-F14)/H14,IF(I$1="差距(UQ)",(H14-#REF!)/H14,IF(I$1="差距(LQ)",(H14-G14)/H14)))</f>
        <v>-8275862067.965517</v>
      </c>
      <c r="K14" s="45">
        <v>25</v>
      </c>
      <c r="L14" s="125"/>
      <c r="M14" s="29">
        <f>入學要求!S125</f>
        <v>0</v>
      </c>
      <c r="N14" s="30" t="s">
        <v>416</v>
      </c>
      <c r="O14" s="30">
        <v>3</v>
      </c>
      <c r="P14" s="30">
        <v>4</v>
      </c>
      <c r="Q14" s="30">
        <v>3</v>
      </c>
      <c r="R14" s="30">
        <v>2</v>
      </c>
      <c r="S14" s="30">
        <v>3</v>
      </c>
      <c r="T14" s="30">
        <v>3</v>
      </c>
    </row>
    <row r="15" spans="1:20" ht="18" customHeight="1">
      <c r="A15" s="19" t="s">
        <v>657</v>
      </c>
      <c r="B15" s="19" t="s">
        <v>870</v>
      </c>
      <c r="C15" s="19" t="s">
        <v>659</v>
      </c>
      <c r="D15" s="19" t="s">
        <v>658</v>
      </c>
      <c r="E15" s="19" t="s">
        <v>690</v>
      </c>
      <c r="F15" s="21">
        <v>37</v>
      </c>
      <c r="G15" s="21">
        <v>37</v>
      </c>
      <c r="H15" s="230">
        <f>計分版!D200</f>
        <v>4.3500000000000001E-9</v>
      </c>
      <c r="I15" s="91">
        <f>IF(I$1="差距(Median)",H15-F15,IF(I$1="差距(UQ)",H15-#REF!,IF(I$1="差距(LQ)",H15-G15)))</f>
        <v>-36.999999995650001</v>
      </c>
      <c r="J15" s="92">
        <f>IF(I$1="差距(Median)",(H15-F15)/H15,IF(I$1="差距(UQ)",(H15-#REF!)/H15,IF(I$1="差距(LQ)",(H15-G15)/H15)))</f>
        <v>-8505747125.4367819</v>
      </c>
      <c r="K15" s="126">
        <v>60</v>
      </c>
      <c r="L15" s="93"/>
      <c r="M15" s="24">
        <f>入學要求!S126</f>
        <v>0</v>
      </c>
      <c r="N15" s="47" t="s">
        <v>416</v>
      </c>
      <c r="O15" s="47">
        <v>3</v>
      </c>
      <c r="P15" s="47">
        <v>4</v>
      </c>
      <c r="Q15" s="47">
        <v>3</v>
      </c>
      <c r="R15" s="47">
        <v>2</v>
      </c>
      <c r="S15" s="47">
        <v>3</v>
      </c>
      <c r="T15" s="47">
        <v>3</v>
      </c>
    </row>
    <row r="16" spans="1:20" s="25" customFormat="1" ht="18" customHeight="1">
      <c r="A16" s="25" t="s">
        <v>660</v>
      </c>
      <c r="B16" s="25" t="s">
        <v>870</v>
      </c>
      <c r="C16" s="25" t="s">
        <v>662</v>
      </c>
      <c r="D16" s="25" t="s">
        <v>661</v>
      </c>
      <c r="E16" s="25" t="s">
        <v>872</v>
      </c>
      <c r="F16" s="26">
        <v>48.5</v>
      </c>
      <c r="G16" s="26">
        <v>47.5</v>
      </c>
      <c r="H16" s="233">
        <f>計分版!D201</f>
        <v>4.3999999999999997E-9</v>
      </c>
      <c r="I16" s="123">
        <f>IF(I$1="差距(Median)",H16-F16,IF(I$1="差距(UQ)",H16-#REF!,IF(I$1="差距(LQ)",H16-G16)))</f>
        <v>-48.4999999956</v>
      </c>
      <c r="J16" s="124">
        <f>IF(I$1="差距(Median)",(H16-F16)/H16,IF(I$1="差距(UQ)",(H16-#REF!)/H16,IF(I$1="差距(LQ)",(H16-G16)/H16)))</f>
        <v>-11022727271.727274</v>
      </c>
      <c r="K16" s="45">
        <v>26</v>
      </c>
      <c r="L16" s="125"/>
      <c r="M16" s="29">
        <f>入學要求!S127</f>
        <v>0</v>
      </c>
      <c r="N16" s="30" t="s">
        <v>416</v>
      </c>
      <c r="O16" s="30">
        <v>3</v>
      </c>
      <c r="P16" s="30">
        <v>4</v>
      </c>
      <c r="Q16" s="30">
        <v>3</v>
      </c>
      <c r="R16" s="30">
        <v>2</v>
      </c>
      <c r="S16" s="30">
        <v>3</v>
      </c>
      <c r="T16" s="30">
        <v>3</v>
      </c>
    </row>
    <row r="17" spans="1:20" ht="18" customHeight="1">
      <c r="A17" s="19" t="s">
        <v>663</v>
      </c>
      <c r="B17" s="19" t="s">
        <v>870</v>
      </c>
      <c r="C17" s="19" t="s">
        <v>665</v>
      </c>
      <c r="D17" s="19" t="s">
        <v>664</v>
      </c>
      <c r="E17" s="19" t="s">
        <v>872</v>
      </c>
      <c r="F17" s="21">
        <v>53.5</v>
      </c>
      <c r="G17" s="21">
        <v>51.5</v>
      </c>
      <c r="H17" s="230">
        <f>計分版!D202</f>
        <v>4.3999999999999997E-9</v>
      </c>
      <c r="I17" s="91">
        <f>IF(I$1="差距(Median)",H17-F17,IF(I$1="差距(UQ)",H17-#REF!,IF(I$1="差距(LQ)",H17-G17)))</f>
        <v>-53.4999999956</v>
      </c>
      <c r="J17" s="92">
        <f>IF(I$1="差距(Median)",(H17-F17)/H17,IF(I$1="差距(UQ)",(H17-#REF!)/H17,IF(I$1="差距(LQ)",(H17-G17)/H17)))</f>
        <v>-12159090908.09091</v>
      </c>
      <c r="K17" s="126">
        <v>20</v>
      </c>
      <c r="L17" s="93"/>
      <c r="M17" s="24">
        <f>入學要求!S128</f>
        <v>0</v>
      </c>
      <c r="N17" s="47" t="s">
        <v>417</v>
      </c>
      <c r="O17" s="47">
        <v>3</v>
      </c>
      <c r="P17" s="47">
        <v>4</v>
      </c>
      <c r="Q17" s="47">
        <v>3</v>
      </c>
      <c r="R17" s="47">
        <v>2</v>
      </c>
      <c r="S17" s="47">
        <v>3</v>
      </c>
      <c r="T17" s="47">
        <v>3</v>
      </c>
    </row>
    <row r="18" spans="1:20" s="25" customFormat="1" ht="18" customHeight="1">
      <c r="A18" s="25" t="s">
        <v>666</v>
      </c>
      <c r="B18" s="25" t="s">
        <v>868</v>
      </c>
      <c r="C18" s="25" t="s">
        <v>668</v>
      </c>
      <c r="D18" s="25" t="s">
        <v>667</v>
      </c>
      <c r="E18" s="25" t="s">
        <v>691</v>
      </c>
      <c r="F18" s="26">
        <v>32</v>
      </c>
      <c r="G18" s="26">
        <v>31.5</v>
      </c>
      <c r="H18" s="233">
        <f>計分版!D203</f>
        <v>3.9000000000000002E-9</v>
      </c>
      <c r="I18" s="123">
        <f>IF(I$1="差距(Median)",H18-F18,IF(I$1="差距(UQ)",H18-#REF!,IF(I$1="差距(LQ)",H18-G18)))</f>
        <v>-31.999999996100001</v>
      </c>
      <c r="J18" s="124">
        <f>IF(I$1="差距(Median)",(H18-F18)/H18,IF(I$1="差距(UQ)",(H18-#REF!)/H18,IF(I$1="差距(LQ)",(H18-G18)/H18)))</f>
        <v>-8205128204.1282053</v>
      </c>
      <c r="K18" s="45">
        <v>50</v>
      </c>
      <c r="L18" s="125"/>
      <c r="M18" s="29">
        <f>入學要求!S129</f>
        <v>0</v>
      </c>
      <c r="N18" s="30" t="s">
        <v>416</v>
      </c>
      <c r="O18" s="30">
        <v>3</v>
      </c>
      <c r="P18" s="30">
        <v>3</v>
      </c>
      <c r="Q18" s="30">
        <v>2</v>
      </c>
      <c r="R18" s="30">
        <v>2</v>
      </c>
      <c r="S18" s="30">
        <v>3</v>
      </c>
      <c r="T18" s="30">
        <v>3</v>
      </c>
    </row>
    <row r="19" spans="1:20" ht="18" customHeight="1">
      <c r="A19" s="19" t="s">
        <v>669</v>
      </c>
      <c r="B19" s="19" t="s">
        <v>868</v>
      </c>
      <c r="C19" s="19" t="s">
        <v>671</v>
      </c>
      <c r="D19" s="19" t="s">
        <v>670</v>
      </c>
      <c r="E19" s="19" t="s">
        <v>690</v>
      </c>
      <c r="F19" s="21">
        <v>37</v>
      </c>
      <c r="G19" s="21">
        <v>35.5</v>
      </c>
      <c r="H19" s="230">
        <f>計分版!D204</f>
        <v>4.3999999999999997E-9</v>
      </c>
      <c r="I19" s="91">
        <f>IF(I$1="差距(Median)",H19-F19,IF(I$1="差距(UQ)",H19-#REF!,IF(I$1="差距(LQ)",H19-G19)))</f>
        <v>-36.9999999956</v>
      </c>
      <c r="J19" s="92">
        <f>IF(I$1="差距(Median)",(H19-F19)/H19,IF(I$1="差距(UQ)",(H19-#REF!)/H19,IF(I$1="差距(LQ)",(H19-G19)/H19)))</f>
        <v>-8409090908.09091</v>
      </c>
      <c r="K19" s="126">
        <v>28</v>
      </c>
      <c r="L19" s="93"/>
      <c r="M19" s="24">
        <f>入學要求!S130</f>
        <v>0</v>
      </c>
      <c r="N19" s="47" t="s">
        <v>416</v>
      </c>
      <c r="O19" s="47">
        <v>3</v>
      </c>
      <c r="P19" s="47">
        <v>3</v>
      </c>
      <c r="Q19" s="47">
        <v>3</v>
      </c>
      <c r="R19" s="47">
        <v>2</v>
      </c>
      <c r="S19" s="47">
        <v>3</v>
      </c>
      <c r="T19" s="47">
        <v>3</v>
      </c>
    </row>
    <row r="20" spans="1:20" s="25" customFormat="1" ht="18" customHeight="1">
      <c r="A20" s="25" t="s">
        <v>672</v>
      </c>
      <c r="B20" s="25" t="s">
        <v>871</v>
      </c>
      <c r="C20" s="25" t="s">
        <v>674</v>
      </c>
      <c r="D20" s="25" t="s">
        <v>673</v>
      </c>
      <c r="E20" s="25" t="s">
        <v>690</v>
      </c>
      <c r="F20" s="26">
        <v>43.5</v>
      </c>
      <c r="G20" s="26">
        <v>42</v>
      </c>
      <c r="H20" s="233">
        <f>計分版!D205</f>
        <v>3.65E-9</v>
      </c>
      <c r="I20" s="123">
        <f>IF(I$1="差距(Median)",H20-F20,IF(I$1="差距(UQ)",H20-#REF!,IF(I$1="差距(LQ)",H20-G20)))</f>
        <v>-43.499999996349999</v>
      </c>
      <c r="J20" s="124">
        <f>IF(I$1="差距(Median)",(H20-F20)/H20,IF(I$1="差距(UQ)",(H20-#REF!)/H20,IF(I$1="差距(LQ)",(H20-G20)/H20)))</f>
        <v>-11917808218.178082</v>
      </c>
      <c r="K20" s="45">
        <v>26</v>
      </c>
      <c r="L20" s="125"/>
      <c r="M20" s="29">
        <f>入學要求!S131</f>
        <v>0</v>
      </c>
      <c r="N20" s="30" t="s">
        <v>416</v>
      </c>
      <c r="O20" s="30">
        <v>3</v>
      </c>
      <c r="P20" s="30">
        <v>4</v>
      </c>
      <c r="Q20" s="30">
        <v>3</v>
      </c>
      <c r="R20" s="30">
        <v>2</v>
      </c>
      <c r="S20" s="30">
        <v>3</v>
      </c>
      <c r="T20" s="30">
        <v>3</v>
      </c>
    </row>
    <row r="21" spans="1:20" ht="18" customHeight="1">
      <c r="A21" s="19" t="s">
        <v>675</v>
      </c>
      <c r="B21" s="19" t="s">
        <v>871</v>
      </c>
      <c r="C21" s="19" t="s">
        <v>677</v>
      </c>
      <c r="D21" s="19" t="s">
        <v>676</v>
      </c>
      <c r="E21" s="19" t="s">
        <v>690</v>
      </c>
      <c r="F21" s="21">
        <v>41</v>
      </c>
      <c r="G21" s="21">
        <v>38</v>
      </c>
      <c r="H21" s="230">
        <f>計分版!D206</f>
        <v>3.8500000000000006E-9</v>
      </c>
      <c r="I21" s="91">
        <f>IF(I$1="差距(Median)",H21-F21,IF(I$1="差距(UQ)",H21-#REF!,IF(I$1="差距(LQ)",H21-G21)))</f>
        <v>-40.999999996150002</v>
      </c>
      <c r="J21" s="92">
        <f>IF(I$1="差距(Median)",(H21-F21)/H21,IF(I$1="差距(UQ)",(H21-#REF!)/H21,IF(I$1="差距(LQ)",(H21-G21)/H21)))</f>
        <v>-10649350648.350649</v>
      </c>
      <c r="K21" s="126">
        <v>15</v>
      </c>
      <c r="L21" s="93"/>
      <c r="M21" s="24">
        <f>入學要求!S132</f>
        <v>0</v>
      </c>
      <c r="N21" s="47" t="s">
        <v>417</v>
      </c>
      <c r="O21" s="47">
        <v>3</v>
      </c>
      <c r="P21" s="47">
        <v>4</v>
      </c>
      <c r="Q21" s="47">
        <v>3</v>
      </c>
      <c r="R21" s="47">
        <v>2</v>
      </c>
      <c r="S21" s="47">
        <v>3</v>
      </c>
      <c r="T21" s="47">
        <v>3</v>
      </c>
    </row>
    <row r="22" spans="1:20" s="25" customFormat="1" ht="18" customHeight="1">
      <c r="A22" s="25" t="s">
        <v>678</v>
      </c>
      <c r="B22" s="25" t="s">
        <v>871</v>
      </c>
      <c r="C22" s="25" t="s">
        <v>680</v>
      </c>
      <c r="D22" s="25" t="s">
        <v>679</v>
      </c>
      <c r="E22" s="25" t="s">
        <v>690</v>
      </c>
      <c r="F22" s="26">
        <v>46</v>
      </c>
      <c r="G22" s="26">
        <v>43</v>
      </c>
      <c r="H22" s="233">
        <f>計分版!D207</f>
        <v>4.6499999999999995E-9</v>
      </c>
      <c r="I22" s="123">
        <f>IF(I$1="差距(Median)",H22-F22,IF(I$1="差距(UQ)",H22-#REF!,IF(I$1="差距(LQ)",H22-G22)))</f>
        <v>-45.999999995350002</v>
      </c>
      <c r="J22" s="124">
        <f>IF(I$1="差距(Median)",(H22-F22)/H22,IF(I$1="差距(UQ)",(H22-#REF!)/H22,IF(I$1="差距(LQ)",(H22-G22)/H22)))</f>
        <v>-9892473117.2795715</v>
      </c>
      <c r="K22" s="45">
        <v>15</v>
      </c>
      <c r="L22" s="125"/>
      <c r="M22" s="29">
        <f>入學要求!S133</f>
        <v>0</v>
      </c>
      <c r="N22" s="30" t="s">
        <v>416</v>
      </c>
      <c r="O22" s="30">
        <v>3</v>
      </c>
      <c r="P22" s="30">
        <v>4</v>
      </c>
      <c r="Q22" s="30">
        <v>3</v>
      </c>
      <c r="R22" s="30">
        <v>2</v>
      </c>
      <c r="S22" s="30">
        <v>3</v>
      </c>
      <c r="T22" s="30">
        <v>3</v>
      </c>
    </row>
    <row r="23" spans="1:20" ht="18" customHeight="1">
      <c r="A23" s="19" t="s">
        <v>681</v>
      </c>
      <c r="B23" s="19" t="s">
        <v>871</v>
      </c>
      <c r="C23" s="19" t="s">
        <v>683</v>
      </c>
      <c r="D23" s="19" t="s">
        <v>682</v>
      </c>
      <c r="E23" s="19" t="s">
        <v>690</v>
      </c>
      <c r="F23" s="47">
        <v>45.5</v>
      </c>
      <c r="G23" s="21">
        <v>44.5</v>
      </c>
      <c r="H23" s="230">
        <f>計分版!D208</f>
        <v>4.3999999999999997E-9</v>
      </c>
      <c r="I23" s="91">
        <f>IF(I$1="差距(Median)",H23-F23,IF(I$1="差距(UQ)",H23-#REF!,IF(I$1="差距(LQ)",H23-G23)))</f>
        <v>-45.4999999956</v>
      </c>
      <c r="J23" s="92">
        <f>IF(I$1="差距(Median)",(H23-F23)/H23,IF(I$1="差距(UQ)",(H23-#REF!)/H23,IF(I$1="差距(LQ)",(H23-G23)/H23)))</f>
        <v>-10340909089.909092</v>
      </c>
      <c r="K23" s="126">
        <v>23</v>
      </c>
      <c r="L23" s="93"/>
      <c r="M23" s="24">
        <f>入學要求!S134</f>
        <v>0</v>
      </c>
      <c r="N23" s="47" t="s">
        <v>417</v>
      </c>
      <c r="O23" s="47">
        <v>3</v>
      </c>
      <c r="P23" s="47">
        <v>4</v>
      </c>
      <c r="Q23" s="47">
        <v>3</v>
      </c>
      <c r="R23" s="47">
        <v>2</v>
      </c>
      <c r="S23" s="47">
        <v>3</v>
      </c>
      <c r="T23" s="47">
        <v>3</v>
      </c>
    </row>
    <row r="24" spans="1:20" s="25" customFormat="1" ht="18" customHeight="1">
      <c r="A24" s="25" t="s">
        <v>684</v>
      </c>
      <c r="B24" s="25" t="s">
        <v>871</v>
      </c>
      <c r="C24" s="25" t="s">
        <v>686</v>
      </c>
      <c r="D24" s="25" t="s">
        <v>685</v>
      </c>
      <c r="E24" s="25" t="s">
        <v>872</v>
      </c>
      <c r="F24" s="26">
        <v>57.5</v>
      </c>
      <c r="G24" s="26">
        <v>55</v>
      </c>
      <c r="H24" s="233">
        <f>計分版!D209</f>
        <v>3.65E-9</v>
      </c>
      <c r="I24" s="123">
        <f>IF(I$1="差距(Median)",H24-F24,IF(I$1="差距(UQ)",H24-#REF!,IF(I$1="差距(LQ)",H24-G24)))</f>
        <v>-57.499999996349999</v>
      </c>
      <c r="J24" s="124">
        <f>IF(I$1="差距(Median)",(H24-F24)/H24,IF(I$1="差距(UQ)",(H24-#REF!)/H24,IF(I$1="差距(LQ)",(H24-G24)/H24)))</f>
        <v>-15753424656.534246</v>
      </c>
      <c r="K24" s="45">
        <v>21</v>
      </c>
      <c r="L24" s="125"/>
      <c r="M24" s="29">
        <f>入學要求!S135</f>
        <v>0</v>
      </c>
      <c r="N24" s="30" t="s">
        <v>417</v>
      </c>
      <c r="O24" s="30">
        <v>3</v>
      </c>
      <c r="P24" s="30">
        <v>4</v>
      </c>
      <c r="Q24" s="30">
        <v>3</v>
      </c>
      <c r="R24" s="30">
        <v>2</v>
      </c>
      <c r="S24" s="30">
        <v>3</v>
      </c>
      <c r="T24" s="30">
        <v>3</v>
      </c>
    </row>
    <row r="25" spans="1:20"/>
    <row r="26" spans="1:20" ht="16.5" customHeight="1">
      <c r="A26" s="18" t="s">
        <v>1034</v>
      </c>
    </row>
    <row r="27" spans="1:20" ht="16.5" customHeight="1">
      <c r="A27" s="19" t="s">
        <v>1184</v>
      </c>
    </row>
    <row r="28" spans="1:20" ht="16.5" customHeight="1">
      <c r="F28" s="260"/>
      <c r="G28" s="260"/>
      <c r="H28" s="260"/>
      <c r="K28" s="260"/>
      <c r="N28" s="260"/>
      <c r="O28" s="260"/>
      <c r="P28" s="260"/>
      <c r="Q28" s="260"/>
      <c r="R28" s="260"/>
      <c r="S28" s="260"/>
      <c r="T28" s="260"/>
    </row>
    <row r="29" spans="1:20" ht="16.5" customHeight="1">
      <c r="A29" s="18" t="s">
        <v>1352</v>
      </c>
      <c r="F29" s="260"/>
      <c r="G29" s="260"/>
      <c r="H29" s="260"/>
      <c r="K29" s="260"/>
      <c r="N29" s="260"/>
      <c r="O29" s="260"/>
      <c r="P29" s="260"/>
      <c r="Q29" s="260"/>
      <c r="R29" s="260"/>
      <c r="S29" s="260"/>
      <c r="T29" s="260"/>
    </row>
    <row r="30" spans="1:20" ht="16.5" customHeight="1">
      <c r="A30" s="270" t="s">
        <v>1365</v>
      </c>
      <c r="F30" s="260"/>
      <c r="G30" s="260"/>
      <c r="H30" s="260"/>
      <c r="K30" s="260"/>
      <c r="N30" s="260"/>
      <c r="O30" s="260"/>
      <c r="P30" s="260"/>
      <c r="Q30" s="260"/>
      <c r="R30" s="260"/>
      <c r="S30" s="260"/>
      <c r="T30" s="260"/>
    </row>
    <row r="31" spans="1:20">
      <c r="A31" s="270" t="s">
        <v>1366</v>
      </c>
    </row>
    <row r="32" spans="1:20"/>
    <row r="33"/>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sheetData>
  <mergeCells count="2">
    <mergeCell ref="I1:J1"/>
    <mergeCell ref="K3:K4"/>
  </mergeCells>
  <phoneticPr fontId="2" type="noConversion"/>
  <conditionalFormatting sqref="I2:J24">
    <cfRule type="cellIs" dxfId="204" priority="55" operator="equal">
      <formula>"/"</formula>
    </cfRule>
    <cfRule type="cellIs" dxfId="203" priority="56" operator="lessThan">
      <formula>0</formula>
    </cfRule>
    <cfRule type="cellIs" dxfId="202" priority="57" operator="greaterThan">
      <formula>0</formula>
    </cfRule>
  </conditionalFormatting>
  <conditionalFormatting sqref="F2:F24">
    <cfRule type="expression" dxfId="201" priority="53">
      <formula>$I$1="差距(Median)"</formula>
    </cfRule>
  </conditionalFormatting>
  <conditionalFormatting sqref="G2:G24">
    <cfRule type="expression" dxfId="200" priority="52">
      <formula>$I$1="差距(LQ)"</formula>
    </cfRule>
  </conditionalFormatting>
  <conditionalFormatting sqref="M2:M24">
    <cfRule type="cellIs" dxfId="199" priority="37" operator="equal">
      <formula>2</formula>
    </cfRule>
    <cfRule type="cellIs" dxfId="198" priority="38" operator="equal">
      <formula>1</formula>
    </cfRule>
    <cfRule type="cellIs" dxfId="197" priority="39" operator="equal">
      <formula>0</formula>
    </cfRule>
  </conditionalFormatting>
  <conditionalFormatting sqref="K2:K3 K11:K24 K5:K8">
    <cfRule type="cellIs" dxfId="196" priority="36" operator="lessThan">
      <formula>30</formula>
    </cfRule>
  </conditionalFormatting>
  <hyperlinks>
    <hyperlink ref="A30" r:id="rId1" xr:uid="{1283EC45-23ED-45EA-935C-24FB3A06D0A1}"/>
    <hyperlink ref="A31" r:id="rId2" xr:uid="{CCC32BEF-F150-4D04-979F-53BE8106CAC3}"/>
  </hyperlinks>
  <pageMargins left="0.7" right="0.7" top="0.75" bottom="0.75" header="0.3" footer="0.3"/>
  <legacyDrawing r:id="rId3"/>
  <extLst>
    <ext xmlns:x14="http://schemas.microsoft.com/office/spreadsheetml/2009/9/main" uri="{78C0D931-6437-407d-A8EE-F0AAD7539E65}">
      <x14:conditionalFormattings>
        <x14:conditionalFormatting xmlns:xm="http://schemas.microsoft.com/office/excel/2006/main">
          <x14:cfRule type="cellIs" priority="49" operator="lessThan" id="{E6B2FE52-6690-43B6-86B8-354F151E5D22}">
            <xm:f>計分版!$D$4</xm:f>
            <x14:dxf>
              <font>
                <color rgb="FF006100"/>
              </font>
              <fill>
                <patternFill>
                  <bgColor rgb="FFC6EFCE"/>
                </patternFill>
              </fill>
            </x14:dxf>
          </x14:cfRule>
          <xm:sqref>P2:P24</xm:sqref>
        </x14:conditionalFormatting>
        <x14:conditionalFormatting xmlns:xm="http://schemas.microsoft.com/office/excel/2006/main">
          <x14:cfRule type="cellIs" priority="414" operator="greaterThan" id="{D7AC4B7D-6EBF-4E29-A5EF-A38139289E64}">
            <xm:f>計分版!$C$13</xm:f>
            <x14:dxf>
              <font>
                <color rgb="FF9C0006"/>
              </font>
              <fill>
                <patternFill>
                  <bgColor rgb="FFFFC7CE"/>
                </patternFill>
              </fill>
            </x14:dxf>
          </x14:cfRule>
          <x14:cfRule type="cellIs" priority="415" operator="lessThan" id="{F2625C09-331E-4EF0-B211-5FFA13B5FCE0}">
            <xm:f>計分版!$C$13</xm:f>
            <x14:dxf>
              <font>
                <color rgb="FF006100"/>
              </font>
              <fill>
                <patternFill>
                  <bgColor rgb="FFC6EFCE"/>
                </patternFill>
              </fill>
            </x14:dxf>
          </x14:cfRule>
          <xm:sqref>O2:O24</xm:sqref>
        </x14:conditionalFormatting>
        <x14:conditionalFormatting xmlns:xm="http://schemas.microsoft.com/office/excel/2006/main">
          <x14:cfRule type="cellIs" priority="416" operator="greaterThan" id="{EBE22D2D-CEF5-466E-A83F-72AB419C8F0D}">
            <xm:f>計分版!$D$13</xm:f>
            <x14:dxf>
              <font>
                <color rgb="FF9C0006"/>
              </font>
              <fill>
                <patternFill>
                  <bgColor rgb="FFFFC7CE"/>
                </patternFill>
              </fill>
            </x14:dxf>
          </x14:cfRule>
          <xm:sqref>P2:P24</xm:sqref>
        </x14:conditionalFormatting>
        <x14:conditionalFormatting xmlns:xm="http://schemas.microsoft.com/office/excel/2006/main">
          <x14:cfRule type="cellIs" priority="417" operator="lessThan" id="{4D8666BA-758C-4BAD-9558-66F06DFEF319}">
            <xm:f>計分版!$E$13</xm:f>
            <x14:dxf>
              <font>
                <color rgb="FF006100"/>
              </font>
              <fill>
                <patternFill>
                  <bgColor rgb="FFC6EFCE"/>
                </patternFill>
              </fill>
            </x14:dxf>
          </x14:cfRule>
          <x14:cfRule type="cellIs" priority="418" operator="greaterThan" id="{AF3B0F15-971E-495C-8DA1-829FAF684805}">
            <xm:f>計分版!$E$13</xm:f>
            <x14:dxf>
              <font>
                <color rgb="FF9C0006"/>
              </font>
              <fill>
                <patternFill>
                  <bgColor rgb="FFFFC7CE"/>
                </patternFill>
              </fill>
            </x14:dxf>
          </x14:cfRule>
          <xm:sqref>Q2:Q24</xm:sqref>
        </x14:conditionalFormatting>
        <x14:conditionalFormatting xmlns:xm="http://schemas.microsoft.com/office/excel/2006/main">
          <x14:cfRule type="cellIs" priority="419" operator="lessThan" id="{F8BAFF58-3EDD-4983-B1BA-30DA28DD9A26}">
            <xm:f>計分版!$F$13</xm:f>
            <x14:dxf>
              <font>
                <color rgb="FF006100"/>
              </font>
              <fill>
                <patternFill>
                  <bgColor rgb="FFC6EFCE"/>
                </patternFill>
              </fill>
            </x14:dxf>
          </x14:cfRule>
          <x14:cfRule type="cellIs" priority="420" operator="greaterThan" id="{89715323-110E-46D9-B58B-6F11E82FB89A}">
            <xm:f>計分版!$F$13</xm:f>
            <x14:dxf>
              <font>
                <color rgb="FF9C0006"/>
              </font>
              <fill>
                <patternFill>
                  <bgColor rgb="FFFFC7CE"/>
                </patternFill>
              </fill>
            </x14:dxf>
          </x14:cfRule>
          <xm:sqref>R2:R24</xm:sqref>
        </x14:conditionalFormatting>
        <x14:conditionalFormatting xmlns:xm="http://schemas.microsoft.com/office/excel/2006/main">
          <x14:cfRule type="cellIs" priority="421" operator="lessThan" id="{779639D1-7525-440A-9318-30EBD6E9B0F3}">
            <xm:f>LARGE(計分版!$G$13:$L$13,2)</xm:f>
            <x14:dxf>
              <font>
                <color rgb="FF006100"/>
              </font>
              <fill>
                <patternFill>
                  <bgColor rgb="FFC6EFCE"/>
                </patternFill>
              </fill>
            </x14:dxf>
          </x14:cfRule>
          <x14:cfRule type="cellIs" priority="422" operator="greaterThan" id="{DF2EA31C-A578-498C-AED1-8A12C6929645}">
            <xm:f>LARGE(計分版!$G$13:$L$13,2)</xm:f>
            <x14:dxf>
              <font>
                <color rgb="FF9C0006"/>
              </font>
              <fill>
                <patternFill>
                  <bgColor rgb="FFFFC7CE"/>
                </patternFill>
              </fill>
            </x14:dxf>
          </x14:cfRule>
          <xm:sqref>T2:T24</xm:sqref>
        </x14:conditionalFormatting>
        <x14:conditionalFormatting xmlns:xm="http://schemas.microsoft.com/office/excel/2006/main">
          <x14:cfRule type="cellIs" priority="423" operator="lessThan" id="{7293F56E-95D2-4DCA-9124-3DFD05F2CBEF}">
            <xm:f>LARGE(計分版!$G$13:$L$13,1)</xm:f>
            <x14:dxf>
              <font>
                <color rgb="FF006100"/>
              </font>
              <fill>
                <patternFill>
                  <bgColor rgb="FFC6EFCE"/>
                </patternFill>
              </fill>
            </x14:dxf>
          </x14:cfRule>
          <x14:cfRule type="cellIs" priority="424" operator="greaterThan" id="{61B8C057-B456-4DE4-906C-9E01C6D09BD3}">
            <xm:f>LARGE(計分版!$G$13:$L$13,1)</xm:f>
            <x14:dxf>
              <font>
                <color rgb="FF9C0006"/>
              </font>
              <fill>
                <patternFill>
                  <bgColor rgb="FFFFC7CE"/>
                </patternFill>
              </fill>
            </x14:dxf>
          </x14:cfRule>
          <xm:sqref>S2:S24</xm:sqref>
        </x14:conditionalFormatting>
        <x14:conditionalFormatting xmlns:xm="http://schemas.microsoft.com/office/excel/2006/main">
          <x14:cfRule type="expression" priority="9" id="{8D298941-D2B6-4130-8E3D-D7D70961CA13}">
            <xm:f>計分版!$U$189=0</xm:f>
            <x14:dxf>
              <font>
                <color rgb="FF9C0006"/>
              </font>
              <fill>
                <patternFill>
                  <bgColor rgb="FFFFC7CE"/>
                </patternFill>
              </fill>
            </x14:dxf>
          </x14:cfRule>
          <xm:sqref>S2</xm:sqref>
        </x14:conditionalFormatting>
        <x14:conditionalFormatting xmlns:xm="http://schemas.microsoft.com/office/excel/2006/main">
          <x14:cfRule type="expression" priority="8" id="{0BFD4765-1BEA-4B1A-8D59-F77B16A62AF0}">
            <xm:f>計分版!$R$190=0</xm:f>
            <x14:dxf>
              <font>
                <color rgb="FF9C0006"/>
              </font>
              <fill>
                <patternFill>
                  <bgColor rgb="FFFFC7CE"/>
                </patternFill>
              </fill>
            </x14:dxf>
          </x14:cfRule>
          <xm:sqref>S3</xm:sqref>
        </x14:conditionalFormatting>
        <x14:conditionalFormatting xmlns:xm="http://schemas.microsoft.com/office/excel/2006/main">
          <x14:cfRule type="expression" priority="7" id="{ACF880BA-ED89-4F21-BA9E-9AE88AC166B9}">
            <xm:f>計分版!$R$190=0</xm:f>
            <x14:dxf>
              <font>
                <color rgb="FF9C0006"/>
              </font>
              <fill>
                <patternFill>
                  <bgColor rgb="FFFFC7CE"/>
                </patternFill>
              </fill>
            </x14:dxf>
          </x14:cfRule>
          <xm:sqref>S4</xm:sqref>
        </x14:conditionalFormatting>
        <x14:conditionalFormatting xmlns:xm="http://schemas.microsoft.com/office/excel/2006/main">
          <x14:cfRule type="expression" priority="6" id="{91B509E2-2334-469C-A310-6BC62A618C8A}">
            <xm:f>AND(計分版!$V$189=0,計分版!$R$190=0)</xm:f>
            <x14:dxf>
              <font>
                <color rgb="FF9C0006"/>
              </font>
              <fill>
                <patternFill>
                  <bgColor rgb="FFFFC7CE"/>
                </patternFill>
              </fill>
            </x14:dxf>
          </x14:cfRule>
          <xm:sqref>S5</xm:sqref>
        </x14:conditionalFormatting>
        <x14:conditionalFormatting xmlns:xm="http://schemas.microsoft.com/office/excel/2006/main">
          <x14:cfRule type="expression" priority="5" id="{FF493011-C6D4-4024-BB02-9ABD8E925545}">
            <xm:f>AND(計分版!$V$189=0,計分版!$R$190=0)</xm:f>
            <x14:dxf>
              <font>
                <color rgb="FF9C0006"/>
              </font>
              <fill>
                <patternFill>
                  <bgColor rgb="FFFFC7CE"/>
                </patternFill>
              </fill>
            </x14:dxf>
          </x14:cfRule>
          <xm:sqref>S6</xm:sqref>
        </x14:conditionalFormatting>
        <x14:conditionalFormatting xmlns:xm="http://schemas.microsoft.com/office/excel/2006/main">
          <x14:cfRule type="expression" priority="4" id="{CA93699F-8B97-4F5C-9DE0-C8AA4EAE43C1}">
            <xm:f>AND(計分版!$V$189=0,計分版!$R$190=0)</xm:f>
            <x14:dxf>
              <font>
                <color rgb="FF9C0006"/>
              </font>
              <fill>
                <patternFill>
                  <bgColor rgb="FFFFC7CE"/>
                </patternFill>
              </fill>
            </x14:dxf>
          </x14:cfRule>
          <xm:sqref>S24</xm:sqref>
        </x14:conditionalFormatting>
        <x14:conditionalFormatting xmlns:xm="http://schemas.microsoft.com/office/excel/2006/main">
          <x14:cfRule type="expression" priority="2" id="{373DF787-D588-4628-9CEC-004C95C26118}">
            <xm:f>計分版!$R$199=0</xm:f>
            <x14:dxf>
              <font>
                <color rgb="FF9C0006"/>
              </font>
              <fill>
                <patternFill>
                  <bgColor rgb="FFFFC7CE"/>
                </patternFill>
              </fill>
            </x14:dxf>
          </x14:cfRule>
          <xm:sqref>S20</xm:sqref>
        </x14:conditionalFormatting>
        <x14:conditionalFormatting xmlns:xm="http://schemas.microsoft.com/office/excel/2006/main">
          <x14:cfRule type="expression" priority="1" id="{E1E973AB-9446-4237-820C-907AECD4FAE5}">
            <xm:f>計分版!$U$189=0</xm:f>
            <x14:dxf>
              <font>
                <color rgb="FF9C0006"/>
              </font>
              <fill>
                <patternFill>
                  <bgColor rgb="FFFFC7CE"/>
                </patternFill>
              </fill>
            </x14:dxf>
          </x14:cfRule>
          <xm:sqref>T2</xm:sqref>
        </x14:conditionalFormatting>
        <x14:conditionalFormatting xmlns:xm="http://schemas.microsoft.com/office/excel/2006/main">
          <x14:cfRule type="expression" priority="539" id="{406CAB9A-A809-4BC4-A7B2-DA0757063B34}">
            <xm:f>AND(計分版!$Q$165&lt;1,計分版!$P$201=0)</xm:f>
            <x14:dxf>
              <font>
                <color rgb="FF9C0006"/>
              </font>
              <fill>
                <patternFill>
                  <bgColor rgb="FFFFC7CE"/>
                </patternFill>
              </fill>
            </x14:dxf>
          </x14:cfRule>
          <xm:sqref>S22</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65CDF1B1-B8C6-4B0C-90C8-FCE78C88DEF8}">
          <x14:formula1>
            <xm:f>選單!$I$2:$I$3</xm:f>
          </x14:formula1>
          <xm:sqref>I1:J1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0A00161B6D124EBFED7AE90E865BF4" ma:contentTypeVersion="13" ma:contentTypeDescription="Create a new document." ma:contentTypeScope="" ma:versionID="cc01b0f1623619cfba5d0b3bfed3ad63">
  <xsd:schema xmlns:xsd="http://www.w3.org/2001/XMLSchema" xmlns:xs="http://www.w3.org/2001/XMLSchema" xmlns:p="http://schemas.microsoft.com/office/2006/metadata/properties" xmlns:ns3="d0ea7274-d0ef-4ec7-8b2a-e2b30de4fb4b" xmlns:ns4="1142418a-007b-4663-b779-34027ba3bae5" targetNamespace="http://schemas.microsoft.com/office/2006/metadata/properties" ma:root="true" ma:fieldsID="203dfed78099555aa8a484f368a7d9c4" ns3:_="" ns4:_="">
    <xsd:import namespace="d0ea7274-d0ef-4ec7-8b2a-e2b30de4fb4b"/>
    <xsd:import namespace="1142418a-007b-4663-b779-34027ba3bae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ea7274-d0ef-4ec7-8b2a-e2b30de4fb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142418a-007b-4663-b779-34027ba3bae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D1491E-8C2D-436B-9EBC-4D92334E9983}">
  <ds:schemaRefs>
    <ds:schemaRef ds:uri="http://schemas.microsoft.com/office/2006/metadata/contentType"/>
    <ds:schemaRef ds:uri="http://schemas.microsoft.com/office/2006/metadata/properties/metaAttributes"/>
    <ds:schemaRef ds:uri="http://www.w3.org/2000/xmlns/"/>
    <ds:schemaRef ds:uri="http://www.w3.org/2001/XMLSchema"/>
    <ds:schemaRef ds:uri="d0ea7274-d0ef-4ec7-8b2a-e2b30de4fb4b"/>
    <ds:schemaRef ds:uri="1142418a-007b-4663-b779-34027ba3bae5"/>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933648-3F35-4F5C-AA06-88BFBCC5DBFE}">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C14EC20A-D89C-4F0B-8816-AB5D261A27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具名範圍</vt:lpstr>
      </vt:variant>
      <vt:variant>
        <vt:i4>11</vt:i4>
      </vt:variant>
    </vt:vector>
  </HeadingPairs>
  <TitlesOfParts>
    <vt:vector size="26" baseType="lpstr">
      <vt:lpstr>主頁</vt:lpstr>
      <vt:lpstr>A123</vt:lpstr>
      <vt:lpstr>入學要求</vt:lpstr>
      <vt:lpstr>計分版</vt:lpstr>
      <vt:lpstr>CityU</vt:lpstr>
      <vt:lpstr>HKBU</vt:lpstr>
      <vt:lpstr>PolyU</vt:lpstr>
      <vt:lpstr>CUHK</vt:lpstr>
      <vt:lpstr>UST</vt:lpstr>
      <vt:lpstr>HKU</vt:lpstr>
      <vt:lpstr>LingU</vt:lpstr>
      <vt:lpstr>EdUHK</vt:lpstr>
      <vt:lpstr>OUHK</vt:lpstr>
      <vt:lpstr>SSSDP</vt:lpstr>
      <vt:lpstr>選單</vt:lpstr>
      <vt:lpstr>丙類科目等級</vt:lpstr>
      <vt:lpstr>丙類選修科</vt:lpstr>
      <vt:lpstr>差</vt:lpstr>
      <vt:lpstr>差距ULM</vt:lpstr>
      <vt:lpstr>差距UML</vt:lpstr>
      <vt:lpstr>第一選修科</vt:lpstr>
      <vt:lpstr>第二選修科</vt:lpstr>
      <vt:lpstr>第三選修科</vt:lpstr>
      <vt:lpstr>第四選修科</vt:lpstr>
      <vt:lpstr>等級</vt:lpstr>
      <vt:lpstr>選修科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Chan</dc:creator>
  <cp:lastModifiedBy>Michael Chan</cp:lastModifiedBy>
  <dcterms:created xsi:type="dcterms:W3CDTF">2020-07-04T18:52:02Z</dcterms:created>
  <dcterms:modified xsi:type="dcterms:W3CDTF">2021-01-22T05:03:35Z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0x010100030A00161B6D124EBFED7AE90E865BF4</vt:lpwstr>
  </property>
</Properties>
</file>